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025" firstSheet="1" activeTab="5"/>
  </bookViews>
  <sheets>
    <sheet name="прил.1" sheetId="1" r:id="rId1"/>
    <sheet name="прил.2" sheetId="2" r:id="rId2"/>
    <sheet name="прил.3" sheetId="3" r:id="rId3"/>
    <sheet name="прил.4" sheetId="4" r:id="rId4"/>
    <sheet name="прил.5" sheetId="5" r:id="rId5"/>
    <sheet name="прил.6" sheetId="6" r:id="rId6"/>
    <sheet name="прил. 7" sheetId="7" r:id="rId7"/>
  </sheets>
  <definedNames>
    <definedName name="_xlnm.Print_Titles" localSheetId="6">'прил. 7'!$9:$9</definedName>
    <definedName name="_xlnm.Print_Titles" localSheetId="0">'прил.1'!$9:$11</definedName>
    <definedName name="_xlnm.Print_Titles" localSheetId="1">'прил.2'!$9:$10</definedName>
    <definedName name="_xlnm.Print_Titles" localSheetId="2">'прил.3'!$9:$10</definedName>
    <definedName name="_xlnm.Print_Titles" localSheetId="3">'прил.4'!$8:$9</definedName>
    <definedName name="_xlnm.Print_Titles" localSheetId="4">'прил.5'!$9:$9</definedName>
    <definedName name="_xlnm.Print_Area" localSheetId="6">'прил. 7'!$A$1:$E$34</definedName>
    <definedName name="_xlnm.Print_Area" localSheetId="2">'прил.3'!$A$1:$F$57</definedName>
    <definedName name="_xlnm.Print_Area" localSheetId="3">'прил.4'!$A$1:$D$50</definedName>
    <definedName name="_xlnm.Print_Area" localSheetId="4">'прил.5'!$A$1:$H$956</definedName>
    <definedName name="_xlnm.Print_Area" localSheetId="5">'прил.6'!$A$1:$D$18</definedName>
  </definedNames>
  <calcPr fullCalcOnLoad="1"/>
</workbook>
</file>

<file path=xl/sharedStrings.xml><?xml version="1.0" encoding="utf-8"?>
<sst xmlns="http://schemas.openxmlformats.org/spreadsheetml/2006/main" count="2785" uniqueCount="1026">
  <si>
    <t>0100</t>
  </si>
  <si>
    <t>0102</t>
  </si>
  <si>
    <t>Функционирование высшего должностного лица субъекта Российской Федерации и муниципального образования</t>
  </si>
  <si>
    <t>Глава Соликамского муниципального района</t>
  </si>
  <si>
    <t>100</t>
  </si>
  <si>
    <t>0103</t>
  </si>
  <si>
    <t>Обеспечение деятельности органов местного самоуправления Соликамского муниципального района</t>
  </si>
  <si>
    <t>200</t>
  </si>
  <si>
    <t>800</t>
  </si>
  <si>
    <t>Иные бюджетные ассигнования</t>
  </si>
  <si>
    <t>Председатель Земского Собрания Соликамского муниципального района</t>
  </si>
  <si>
    <t>Депутаты Земского Собрания Соликамского муниципального района</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</si>
  <si>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</si>
  <si>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</si>
  <si>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300</t>
  </si>
  <si>
    <t>Социальное обеспечение и иные выплаты населению</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</si>
  <si>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</si>
  <si>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0106</t>
  </si>
  <si>
    <t>Обеспечение деятельности финансовых, налоговых и таможенных органов и органов финансового (финансово-бюджетного) надзора</t>
  </si>
  <si>
    <t>Иные межбюджетные трансферты</t>
  </si>
  <si>
    <t>0111</t>
  </si>
  <si>
    <t>Резервные фонды</t>
  </si>
  <si>
    <t>0113</t>
  </si>
  <si>
    <t>Другие общегосударственные вопросы</t>
  </si>
  <si>
    <t>Мероприятия, осуществляемые органами местного самоуправления Соликамского муниципального района, в рамках непрограммных направлений расходов</t>
  </si>
  <si>
    <t>Информирование населения через средства массовой информации, публикация нормативных актов</t>
  </si>
  <si>
    <t>0300</t>
  </si>
  <si>
    <t>0400</t>
  </si>
  <si>
    <t>0405</t>
  </si>
  <si>
    <t>Сельское хозяйство и рыболовство</t>
  </si>
  <si>
    <t>0408</t>
  </si>
  <si>
    <t>Транспорт</t>
  </si>
  <si>
    <t>0409</t>
  </si>
  <si>
    <t>Дорожное хозяйство (дорожные фонды)</t>
  </si>
  <si>
    <t>400</t>
  </si>
  <si>
    <t>600</t>
  </si>
  <si>
    <t>Предоставление субсидий бюджетным, автономным учреждениям и иным некоммерческим организациям</t>
  </si>
  <si>
    <t>0412</t>
  </si>
  <si>
    <t>Другие вопросы в области национальной экономики</t>
  </si>
  <si>
    <t>0500</t>
  </si>
  <si>
    <t>0502</t>
  </si>
  <si>
    <t>Коммунальное хозяйство</t>
  </si>
  <si>
    <t>0505</t>
  </si>
  <si>
    <t>Другие вопросы в области жилищно-коммунального хозяйства</t>
  </si>
  <si>
    <t>0700</t>
  </si>
  <si>
    <t>0701</t>
  </si>
  <si>
    <t>Дошкольное образование</t>
  </si>
  <si>
    <t>0702</t>
  </si>
  <si>
    <t>Общее образование</t>
  </si>
  <si>
    <t>0707</t>
  </si>
  <si>
    <t>0709</t>
  </si>
  <si>
    <t>Другие вопросы в области образования</t>
  </si>
  <si>
    <t>0800</t>
  </si>
  <si>
    <t>0801</t>
  </si>
  <si>
    <t>Культура</t>
  </si>
  <si>
    <t>0804</t>
  </si>
  <si>
    <t>Другие вопросы в области культуры, кинематографии</t>
  </si>
  <si>
    <t>1000</t>
  </si>
  <si>
    <t>1001</t>
  </si>
  <si>
    <t>Пенсионное обеспечение</t>
  </si>
  <si>
    <t>Расходы на выплату пенсии за выслугу лет лицам муниципальной службы и на выплату пенсии за выслугу лет лицам, замещавшим выборные должности муниципальной службы Соликамского муниципального района</t>
  </si>
  <si>
    <t>Социальное обеспечение населения</t>
  </si>
  <si>
    <t>1004</t>
  </si>
  <si>
    <t>1100</t>
  </si>
  <si>
    <t>1101</t>
  </si>
  <si>
    <t>1400</t>
  </si>
  <si>
    <t>1401</t>
  </si>
  <si>
    <t>Наименование расходов</t>
  </si>
  <si>
    <t xml:space="preserve">Муниципальная программа «Совершенствование муниципального управления в Соликамском муниципальном районе» </t>
  </si>
  <si>
    <t>Муниципальная программа «Создание комфортной среды проживания в Соликамском муниципальном районе»</t>
  </si>
  <si>
    <t>Расходы на информирование населения через средства массовой информации и информационный бюллетень Соликамского муниципального района «Маяк района»</t>
  </si>
  <si>
    <t>НАЦИОНАЛЬНАЯ БЕЗОПАСНОСТЬ И ПРАВООХРАНИТЕЛЬНАЯ ДЕЯТЕЛЬНОСТЬ</t>
  </si>
  <si>
    <t>НАЦИОНАЛЬНАЯ ЭКОНОМИКА</t>
  </si>
  <si>
    <t>СОЦИАЛЬНАЯ ПОЛИТИКА</t>
  </si>
  <si>
    <t>Мероприятия, осуществляемые органами местного самоуправления по переданным государственным полномочиям в рамках непрограммных направлений расходов</t>
  </si>
  <si>
    <t>Финансовое управление Соликамского муниципального района Пермского края</t>
  </si>
  <si>
    <t>Муниципальная программа «Повышение эффективности управления муниципальными финансами в Соликамском муниципальном районе»</t>
  </si>
  <si>
    <t>ЖИЛИЩНО-КОММУНАЛЬНОЕ ХОЗЯЙСТВО</t>
  </si>
  <si>
    <t>500</t>
  </si>
  <si>
    <t>Межбюджетные трансферты</t>
  </si>
  <si>
    <t>Муниципальная программа «Управление муниципальным имуществом муниципального образования «Соликамский муниципальный район»</t>
  </si>
  <si>
    <t>ОБРАЗОВАНИЕ</t>
  </si>
  <si>
    <t>Муниципальная программа «Развитие системы образования Соликамского муниципального района»</t>
  </si>
  <si>
    <t>Предоставление  субсидий  бюджетным,  автономным  учреждениям и иным некоммерческим организациям</t>
  </si>
  <si>
    <t>Муниципальная программа «Развитие культуры, молодёжной политики, физической культуры и спорта в Соликамском муниципальном районе»</t>
  </si>
  <si>
    <t xml:space="preserve">КУЛЬТУРА, КИНЕМАТОГРАФИЯ </t>
  </si>
  <si>
    <t>ФИЗИЧЕСКАЯ КУЛЬТУРА И СПОРТ</t>
  </si>
  <si>
    <t>Физическая культура</t>
  </si>
  <si>
    <t>Управление образования Соликамского муниципального района Пермского края</t>
  </si>
  <si>
    <t>Охрана семьи и детства</t>
  </si>
  <si>
    <t>Функционирование законодательных (представительных) органов государственной власти и представительных органов муниципальных образований</t>
  </si>
  <si>
    <t>ИТОГО РАСХОДОВ:</t>
  </si>
  <si>
    <t>Приложение 6</t>
  </si>
  <si>
    <t>№ п\п</t>
  </si>
  <si>
    <t>Наименование муниципальной программы, направления расходов</t>
  </si>
  <si>
    <t>Приложение 3</t>
  </si>
  <si>
    <t xml:space="preserve"> 01 05 00 00 00 0000 000</t>
  </si>
  <si>
    <t>Изменение остатков средств на счетах по учету средств бюджета</t>
  </si>
  <si>
    <t xml:space="preserve"> 01 05 02 00 00 0000 500</t>
  </si>
  <si>
    <t>Увеличение прочих остатков средств бюджетов</t>
  </si>
  <si>
    <t xml:space="preserve"> 01 05 02 01 00 0000 510</t>
  </si>
  <si>
    <t>Увеличение прочих остатков денежных средств бюджетов</t>
  </si>
  <si>
    <t xml:space="preserve"> 01 05 02 01 05 0000 510</t>
  </si>
  <si>
    <t>Увеличение прочих остатков денежных средств бюджетов муниципальных районов</t>
  </si>
  <si>
    <t xml:space="preserve"> 01 05 02 00 00 0000 600</t>
  </si>
  <si>
    <t>Уменьшение прочих остатков средств бюджетов</t>
  </si>
  <si>
    <t xml:space="preserve"> 01 05 02 01 00 0000 610</t>
  </si>
  <si>
    <t>Уменьшение прочих остатков денежных средств бюджетов</t>
  </si>
  <si>
    <t xml:space="preserve"> 01 05 02 01 05 0000 610</t>
  </si>
  <si>
    <t>Уменьшение прочих остатков денежных средств бюджетов муниципальных районов</t>
  </si>
  <si>
    <t>1.</t>
  </si>
  <si>
    <t>в том числе:</t>
  </si>
  <si>
    <t>1.1.</t>
  </si>
  <si>
    <t>1.2.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</si>
  <si>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</si>
  <si>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МЕЖБЮДЖЕТНЫЕ ТРАНСФЕРТЫ ОБЩЕГО ХАРАКТЕРА БЮДЖЕТАМ БЮДЖЕТНОЙ СИСТЕМЫ РОССИЙСКОЙ ФЕДЕРАЦИИ 
</t>
  </si>
  <si>
    <t>0600</t>
  </si>
  <si>
    <t>ОХРАНА ОКРУЖАЮЩЕЙ СРЕДЫ</t>
  </si>
  <si>
    <t>0605</t>
  </si>
  <si>
    <t>Другие вопросы в области охраны окружающей среды</t>
  </si>
  <si>
    <t>Государственная регистрация актов гражданского состояния</t>
  </si>
  <si>
    <t xml:space="preserve">Дотации на выравнивание бюджетной обеспеченности субъектов Российской Федерации и муниципальных образований
</t>
  </si>
  <si>
    <t>1.3.</t>
  </si>
  <si>
    <t>1.4.</t>
  </si>
  <si>
    <t>1.5.</t>
  </si>
  <si>
    <t>НАЛОГОВЫЕ И НЕНАЛОГОВЫЕ ДОХОДЫ</t>
  </si>
  <si>
    <t>НАЛОГИ НА ПРИБЫЛЬ, ДОХОДЫ</t>
  </si>
  <si>
    <t>Налог на доходы физических лиц</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</si>
  <si>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</si>
  <si>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</si>
  <si>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</si>
  <si>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</si>
  <si>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</si>
  <si>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</si>
  <si>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налог на вмененный доход для отдельных видов деятельности</t>
  </si>
  <si>
    <t>Налог, взимаемый в связи с применением патентной системы налогообложения</t>
  </si>
  <si>
    <t>ГОСУДАРСТВЕННАЯ ПОШЛИНА</t>
  </si>
  <si>
    <t xml:space="preserve">Государственная пошлина по делам, рассматриваемым в судах общей юридикции, мировыми судьями </t>
  </si>
  <si>
    <t>ЗАДОЛЖЕННОСТЬ И ПЕРЕРАСЧЕТЫ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</si>
  <si>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</si>
  <si>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ДОХОДЫ ОТ ИСПОЛЬЗОВАНИЯ ИМУЩЕСТВА, НАХОДЯЩЕГОСЯ В ГОСУДАРСТВЕННОЙ И МУНИЦИПАЛЬНОЙ СОБСТВЕННОСТИ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</si>
  <si>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</si>
  <si>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</si>
  <si>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ПЛАТЕЖИ ПРИ ПОЛЬЗОВАНИИ ПРИРОДНЫМИ РЕСУРСАМИ</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</si>
  <si>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</si>
  <si>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</si>
  <si>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</si>
  <si>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</si>
  <si>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</si>
  <si>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</si>
  <si>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</si>
  <si>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</si>
  <si>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</si>
  <si>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</si>
  <si>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</si>
  <si>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</si>
  <si>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</si>
  <si>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Дотации на выравнивание бюджетной обеспеченности</t>
  </si>
  <si>
    <t>Прочие субсидии</t>
  </si>
  <si>
    <t>Прочие субсидии бюджетам муниципальных районов</t>
  </si>
  <si>
    <t>Субвенции бюджетам на государственную регистрацию актов гражданского состояния</t>
  </si>
  <si>
    <t>Субвенции бюджетам муниципальных районов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</si>
  <si>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</si>
  <si>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</si>
  <si>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</si>
  <si>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ВСЕГО ДОХОДОВ</t>
  </si>
  <si>
    <t>Приложение 1</t>
  </si>
  <si>
    <t xml:space="preserve">Администрация Соликамского муниципального района </t>
  </si>
  <si>
    <t>ОБЩЕГОСУДАРСТВЕННЫЕ ВОПРОСЫ</t>
  </si>
  <si>
    <t xml:space="preserve">06 0 00 00000 </t>
  </si>
  <si>
    <t xml:space="preserve">06 2 00 00000 </t>
  </si>
  <si>
    <t xml:space="preserve">06 2 01 00000 </t>
  </si>
  <si>
    <t xml:space="preserve">06 2 01 00010 </t>
  </si>
  <si>
    <t xml:space="preserve">06 2 01 00040 </t>
  </si>
  <si>
    <t>Содержание органов местного самоуправления</t>
  </si>
  <si>
    <t>06 2 01 2К080</t>
  </si>
  <si>
    <t>0105</t>
  </si>
  <si>
    <t>Судебная система</t>
  </si>
  <si>
    <t>93 0 00 00000</t>
  </si>
  <si>
    <t>93 0 00 51200</t>
  </si>
  <si>
    <t xml:space="preserve">03 0 00 00000 </t>
  </si>
  <si>
    <t xml:space="preserve">03 1 00 00000 </t>
  </si>
  <si>
    <t xml:space="preserve">Подпрограмма «Управление земельными отношениями Соликамского муниципального района» </t>
  </si>
  <si>
    <t xml:space="preserve">03 1 02 00000 </t>
  </si>
  <si>
    <t>Основное мероприятие «Распоряжение земельными участками в соответствии с действующим законодательством»</t>
  </si>
  <si>
    <t>03 1 02 М0030</t>
  </si>
  <si>
    <t>Организация работ по распоряжению земельными участками и предпродажная подготовка земельных участков</t>
  </si>
  <si>
    <t xml:space="preserve">03 2 00 00000 </t>
  </si>
  <si>
    <t xml:space="preserve">Подпрограмма «Управление имуществом Соликамского муниципального района» </t>
  </si>
  <si>
    <t xml:space="preserve">03 2 01 00000 </t>
  </si>
  <si>
    <t>Основное мероприятие «Оптимизация состава муниципального имущества»</t>
  </si>
  <si>
    <t>03 2 01 И0020</t>
  </si>
  <si>
    <t xml:space="preserve">03 2 02 00000 </t>
  </si>
  <si>
    <t>Основное мероприятие «Распоряжение муниципальным имуществом в соответствии с действующим законодательством»</t>
  </si>
  <si>
    <t>03 2 02 И0030</t>
  </si>
  <si>
    <t>Организация работ по распоряжению имуществом и предпродажная подготовка объектов недвижимости</t>
  </si>
  <si>
    <t xml:space="preserve">03 3 00 00000 </t>
  </si>
  <si>
    <t xml:space="preserve">Подпрограмма «Обеспечение реализации муниципальной программы» </t>
  </si>
  <si>
    <t xml:space="preserve">03 3 01 00000 </t>
  </si>
  <si>
    <t>Основное мероприятие «Проведение мероприятий по реализации муниципальной программы»</t>
  </si>
  <si>
    <t xml:space="preserve">03 3 01 00100 </t>
  </si>
  <si>
    <t>Обеспечение деятельности (оказание услуг, выполнение работ) муниципальных учреждений (организаций)</t>
  </si>
  <si>
    <t xml:space="preserve">05 0 00 00000 </t>
  </si>
  <si>
    <t xml:space="preserve">06 1 00 00000 </t>
  </si>
  <si>
    <t xml:space="preserve">06 1 01 00000 </t>
  </si>
  <si>
    <t xml:space="preserve">06 1 01 У0010 </t>
  </si>
  <si>
    <t xml:space="preserve">06 1 01 У0020 </t>
  </si>
  <si>
    <t>93 0 00 59300</t>
  </si>
  <si>
    <t xml:space="preserve">92 0 00 00000 </t>
  </si>
  <si>
    <t>Основное мероприятие «Развитие сельского хозяйства и регулирование рынков сельскохозяйственной продукции»</t>
  </si>
  <si>
    <t xml:space="preserve">05 2 00 00000 </t>
  </si>
  <si>
    <t>Основное мероприятие «Развитие малого и среднего предпринимательства»</t>
  </si>
  <si>
    <t>Предоставление субсидий на возмещение части затрат, связанных с перевозкой пассажиров автобусным транспортом</t>
  </si>
  <si>
    <t xml:space="preserve">04 0 00 00000 </t>
  </si>
  <si>
    <t xml:space="preserve">Муниципальная программа «Создание комфортной среды проживания в Соликамском муниципальном районе»  </t>
  </si>
  <si>
    <t xml:space="preserve">04 1 00 00000 </t>
  </si>
  <si>
    <t xml:space="preserve">Подпрограмма «Развитие дорожно-транспортной инфраструктуры Соликамского муниципального района» </t>
  </si>
  <si>
    <t xml:space="preserve">04 1 01 00000 </t>
  </si>
  <si>
    <t>Основное мероприятие «Приведение в нормативное состояние автомобильных дорог общего пользования местного значения»</t>
  </si>
  <si>
    <t>04 1 01 П0010</t>
  </si>
  <si>
    <t>Содержание автомобильных дорог и искусственных сооружений на них</t>
  </si>
  <si>
    <t xml:space="preserve">04 1 02 00000 </t>
  </si>
  <si>
    <t>Основное мероприятие «Строительство (реконструкция) автомобильных дорог общего пользования местного значения»</t>
  </si>
  <si>
    <t>Иные межбюджетные трансферты на выполнение полномочий органа местного самоуправления по вопросам местного значения поселений согласно заключенных соглашений</t>
  </si>
  <si>
    <t xml:space="preserve">04 3 00 00000 </t>
  </si>
  <si>
    <t xml:space="preserve">04 3 01 00000 </t>
  </si>
  <si>
    <t>Основное мероприятие «Проведение мероприятий по реализации программы»</t>
  </si>
  <si>
    <t>04 3 01 00100</t>
  </si>
  <si>
    <t xml:space="preserve">03 1 01 00000 </t>
  </si>
  <si>
    <t>Основное мероприятие «Формирование земельных участков»</t>
  </si>
  <si>
    <t>03 1 01 М0020</t>
  </si>
  <si>
    <t>Организация проведения кадастровых работ в отношении земельных участков и объектов землеустройства, обеспечение постановки их на государственный кадастровый учет, регистрация права муниципальной собственности</t>
  </si>
  <si>
    <t xml:space="preserve">04 2 00 00000 </t>
  </si>
  <si>
    <t xml:space="preserve">Подпрограмма «Развитие коммунально-инженерной инфраструктуры Соликамского муниципального района» </t>
  </si>
  <si>
    <t xml:space="preserve">04 2 01 00000 </t>
  </si>
  <si>
    <t>Основное мероприятие «Развитие системы газоснабжения»</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</si>
  <si>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</si>
  <si>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 xml:space="preserve">01 0 00 00000 </t>
  </si>
  <si>
    <t xml:space="preserve">01 1 00 00000 </t>
  </si>
  <si>
    <t xml:space="preserve">Подпрограмма «Развитие системы дошкольного образования» </t>
  </si>
  <si>
    <t xml:space="preserve">01 1 01 00000 </t>
  </si>
  <si>
    <t>Основное мероприятие «Организация предоставления общедоступного и бесплатного дошкольного образования в муниципальных образовательных организациях»</t>
  </si>
  <si>
    <t>01 1 01 А0030</t>
  </si>
  <si>
    <t>Мероприятия по приведению образовательных организаций в нормативное состояние</t>
  </si>
  <si>
    <t xml:space="preserve">01 2 00 00000 </t>
  </si>
  <si>
    <t>Подпрограмма «Развитие системы общего (начального, основного, среднего) образования»</t>
  </si>
  <si>
    <t xml:space="preserve">01 2 01 00000 </t>
  </si>
  <si>
    <t>Основное мероприятие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</si>
  <si>
    <t>01 2 01 А0030</t>
  </si>
  <si>
    <t xml:space="preserve">01 3 00 00000 </t>
  </si>
  <si>
    <t>Подпрограмма «Развитие системы дополнительного образования и воспитания детей»</t>
  </si>
  <si>
    <t xml:space="preserve">01 3 01 00000 </t>
  </si>
  <si>
    <t>Основное мероприятие «Реализация дополнительных общеобразовательных программ в муниципальных образовательных организациях»</t>
  </si>
  <si>
    <t xml:space="preserve">Молодежная политика </t>
  </si>
  <si>
    <t xml:space="preserve">02 0 00 00000 </t>
  </si>
  <si>
    <t xml:space="preserve">02 1 00 00000 </t>
  </si>
  <si>
    <t xml:space="preserve">Подпрограмма «Развитие культуры и молодежной политики» </t>
  </si>
  <si>
    <t xml:space="preserve">02 1 02 00000 </t>
  </si>
  <si>
    <t>Основное мероприятие «Поддержка развития молодежной политики»</t>
  </si>
  <si>
    <t>02 1 02 К0050</t>
  </si>
  <si>
    <t>Реализация проектов в области муниципальной молодежной политики</t>
  </si>
  <si>
    <t xml:space="preserve">02 1 02 00100 </t>
  </si>
  <si>
    <t xml:space="preserve">02 1 01 00000 </t>
  </si>
  <si>
    <t>Основное мероприятие «Поддержка развития культуры»</t>
  </si>
  <si>
    <t xml:space="preserve">02 1 01 К0010 </t>
  </si>
  <si>
    <t>Реализация проектов, направленных на вовлечение жителей района в активную культурно-досуговую деятельность</t>
  </si>
  <si>
    <t xml:space="preserve">02 1 01 К0020 </t>
  </si>
  <si>
    <t>Обновление материально-технической базы, приобретение специального оборудования (специально автотранспорта) для муниципальных учреждений культуры</t>
  </si>
  <si>
    <t xml:space="preserve">02 1 01 00100 </t>
  </si>
  <si>
    <t xml:space="preserve">08 0 00 00000 </t>
  </si>
  <si>
    <t xml:space="preserve">06 2 02 00000 </t>
  </si>
  <si>
    <t>Основное мероприятие «Организация мероприятий по начислению и выплате пенсий за выслугу лет»</t>
  </si>
  <si>
    <t xml:space="preserve">06 2 02 У0400 </t>
  </si>
  <si>
    <t xml:space="preserve">08 1 00 00000 </t>
  </si>
  <si>
    <t xml:space="preserve">08 1 01 00000 </t>
  </si>
  <si>
    <t xml:space="preserve">02 2 00 00000 </t>
  </si>
  <si>
    <t xml:space="preserve">Подпрограмма «Развитие физической культуры и спорта» </t>
  </si>
  <si>
    <t xml:space="preserve">02 2 01 00000 </t>
  </si>
  <si>
    <t>Основное мероприятие «Поддержка развития физической культуры и спорта»</t>
  </si>
  <si>
    <t>02 2 01 00100</t>
  </si>
  <si>
    <t>02 2 01 К0060</t>
  </si>
  <si>
    <t>Мероприятия, направленные на совершенствование системы физического воспитания различных категорий и групп населения</t>
  </si>
  <si>
    <t>07 0 00 00000</t>
  </si>
  <si>
    <t>07 4 00 00000</t>
  </si>
  <si>
    <t>Подпрограмма «Обеспечение реализации муниципальной программы»</t>
  </si>
  <si>
    <t xml:space="preserve">07 4 01 00000 </t>
  </si>
  <si>
    <t xml:space="preserve">07 4 01 00040 </t>
  </si>
  <si>
    <t xml:space="preserve">07 4 02 00000 </t>
  </si>
  <si>
    <t>Основное мероприятие «Передача отдельных бюджетных полномочий поселений Соликамскому муниципальному району»</t>
  </si>
  <si>
    <t xml:space="preserve">07 1 00 00000 </t>
  </si>
  <si>
    <t xml:space="preserve">Подпрограмма «Нормативно-методическое обеспечение и организация бюджетного процесса в Соликамском муниципальном районе» </t>
  </si>
  <si>
    <t xml:space="preserve"> 07 1 01 00000 </t>
  </si>
  <si>
    <t>Основное мероприятие «Финансовое обеспечение непредвиденных расходов, в том числе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t>
  </si>
  <si>
    <t xml:space="preserve"> 07 1 01 00200 </t>
  </si>
  <si>
    <t>07 2 00 00000</t>
  </si>
  <si>
    <t xml:space="preserve">Подпрограмма «Повышение финансовой устойчивости бюджетов сельских поселений, входящих в состав Соликамского муниципального района» </t>
  </si>
  <si>
    <t xml:space="preserve">07 2 01 00000 </t>
  </si>
  <si>
    <t>Основное мероприятие «Выравнивание бюджетной обеспеченности и поддержка мер по обеспечению сбалансированности местных бюджетов»</t>
  </si>
  <si>
    <t>Оказание финансовой поддержки в форме иных межбюджетных трансфертов из бюджета муниципального района бюджетам сельских поселений</t>
  </si>
  <si>
    <t>Выравнивание бюджетной обеспеченности поселений из районного фонда финансовой поддержки поселений</t>
  </si>
  <si>
    <t xml:space="preserve">01 1 01 А0010 </t>
  </si>
  <si>
    <t>Мероприятия, направленные на предоставление общедоступного и бесплатного дошкольного образования в муниципальных образовательных организациях</t>
  </si>
  <si>
    <t xml:space="preserve">01 1 02 00000 </t>
  </si>
  <si>
    <t>Основное мероприятие «Предоставление мер социальной поддержки»</t>
  </si>
  <si>
    <t xml:space="preserve">01 2 01 А0010 </t>
  </si>
  <si>
    <t>Мероприятия, направленные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</si>
  <si>
    <t xml:space="preserve">01 2 02 00000 </t>
  </si>
  <si>
    <t>01 3 01 А0010</t>
  </si>
  <si>
    <t>Предоставление дополнительного образования детей по дополнительным общеобразовательным программам в организациях дополнительного образования</t>
  </si>
  <si>
    <t xml:space="preserve">01 4 00 00000 </t>
  </si>
  <si>
    <t>Подпрограмма «Оздоровление, отдых и занятость детей и подростков»</t>
  </si>
  <si>
    <t xml:space="preserve">01 4 01 00000 </t>
  </si>
  <si>
    <t>Основное мероприятие «Создание условий для удовлетворения потребности детей и родителей в качественном и доступном отдыхе и оздоровлении»</t>
  </si>
  <si>
    <t>01 4 01 А0010</t>
  </si>
  <si>
    <t>Мероприятия, направленные на организацию отдыха и оздоровления детей и подростков Соликамского муниципального района</t>
  </si>
  <si>
    <t>Мероприятия по организации оздоровления и отдыха детей</t>
  </si>
  <si>
    <t>01 3 01 А0020</t>
  </si>
  <si>
    <t xml:space="preserve">01 5 00 00000 </t>
  </si>
  <si>
    <t xml:space="preserve">01 5 01 00000 </t>
  </si>
  <si>
    <t>01 5 01 00040</t>
  </si>
  <si>
    <t>01 5 01 00100</t>
  </si>
  <si>
    <t xml:space="preserve">01 5 02 00000 </t>
  </si>
  <si>
    <t>Основное мероприятие «Поддержка прочих мероприятий в области образования»</t>
  </si>
  <si>
    <t xml:space="preserve">Земское Собрание Соликамского муниципального района </t>
  </si>
  <si>
    <t>91 0 00 00000</t>
  </si>
  <si>
    <t>91 0 00 00020</t>
  </si>
  <si>
    <t>91 0 00 00030</t>
  </si>
  <si>
    <t>91 0 00 00040</t>
  </si>
  <si>
    <t xml:space="preserve">92 0 00 00030 </t>
  </si>
  <si>
    <t>2.</t>
  </si>
  <si>
    <t>Прочие местные налоги и сборы</t>
  </si>
  <si>
    <t>Доходы от сдачи в аренду имущества, составляющего государственную (муниципальную) казну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</si>
  <si>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</si>
  <si>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</si>
  <si>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</si>
  <si>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</si>
  <si>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районов</t>
  </si>
  <si>
    <t>Доходы от продажи земельных участков, находящихся в государственной 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</si>
  <si>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</si>
  <si>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</si>
  <si>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</si>
  <si>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</si>
  <si>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</si>
  <si>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</si>
  <si>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Осуществление полномочий по созданию и организации деятельности административных комиссий</t>
  </si>
  <si>
    <t xml:space="preserve">92 0 00 00080 </t>
  </si>
  <si>
    <t>Расходы на предоставление материальной помощи пострадавшим в результате пожара</t>
  </si>
  <si>
    <t>04 1 01 П0020</t>
  </si>
  <si>
    <t>Ремонт автомобильных дорог и искусственных сооружений на них</t>
  </si>
  <si>
    <t>"Строительство межпоселкового газопровода Соликамск-Чертеж"</t>
  </si>
  <si>
    <t xml:space="preserve">04 2 02 00000 </t>
  </si>
  <si>
    <t>04 2 02 Ж0010</t>
  </si>
  <si>
    <t>1102</t>
  </si>
  <si>
    <t>Массовый спорт</t>
  </si>
  <si>
    <t>Суммы по искам о возмещении вреда, причиненного окружающей среде</t>
  </si>
  <si>
    <t>Прочие межбюджетные трансферты, передаваемые бюджетам</t>
  </si>
  <si>
    <t>Прочие межбюджетные трансферты, передаваемые бюджетам муниципальных районов</t>
  </si>
  <si>
    <t>ПРОЧИЕ БЕЗВОЗМЕЗДНЫЕ ПОСТУПЛЕНИЯ</t>
  </si>
  <si>
    <t>Прочие безвозмездные поступления в бюджеты муниципальных районов</t>
  </si>
  <si>
    <t>Раздел, Подраздел</t>
  </si>
  <si>
    <t>Целевая статья</t>
  </si>
  <si>
    <t>Вид расходов</t>
  </si>
  <si>
    <t>0314</t>
  </si>
  <si>
    <t>Муниципальная программа «Обеспечение безопасности проживания населения на территории Соликамского муниципального района»</t>
  </si>
  <si>
    <t>Организация трудовой деятельности несовершеннолетних</t>
  </si>
  <si>
    <t>Другие вопросы в области национальной безопасности и правоохранительной деятельности</t>
  </si>
  <si>
    <t>0503</t>
  </si>
  <si>
    <t>Благоустройство</t>
  </si>
  <si>
    <t>Основное мероприятие «Профилактика наркомании, алкоголизма, табакокурения»</t>
  </si>
  <si>
    <t>Проведение районных спартакиад среди добровольных команд по различным видам спорта под девизом «Спорт против наркотиков»</t>
  </si>
  <si>
    <t>Проведение конкурса школьных команд "Я выбираю жизнь!"</t>
  </si>
  <si>
    <t>09 2 01 00000</t>
  </si>
  <si>
    <t>Основное мероприятие «Исключение случаев проявления терроризма, экстремизма, чрезвычайных ситуаций и обстоятельств»</t>
  </si>
  <si>
    <t>10 1 01 С0003</t>
  </si>
  <si>
    <t>Вручение ноутбуков молодым специалистам учреждений образования</t>
  </si>
  <si>
    <t>10 1 01 С0001</t>
  </si>
  <si>
    <t>Предоставление молодым специалистам единовременной выплаты при поступлении на работу в муниципальные учреждения образования</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</si>
  <si>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</si>
  <si>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</si>
  <si>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</si>
  <si>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</si>
  <si>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Дотации бюджетам муниципальных районов на выравнивание бюджетной обеспеченности</t>
  </si>
  <si>
    <t>1.6.</t>
  </si>
  <si>
    <t>1.7.</t>
  </si>
  <si>
    <t>1.8.</t>
  </si>
  <si>
    <t>1.9.</t>
  </si>
  <si>
    <t>Код классификации источников внутреннего финансирования дефицита</t>
  </si>
  <si>
    <t>Наименование кода классификации источников внутреннего финансирования дефицита</t>
  </si>
  <si>
    <t xml:space="preserve">Источники финансирования дефицита бюджетов </t>
  </si>
  <si>
    <t>01 00 00 00 00 0000 000</t>
  </si>
  <si>
    <t>Код класификации доходов бюджета</t>
  </si>
  <si>
    <t>000.1 00 00000 00 0000.000</t>
  </si>
  <si>
    <t>000.1 01 00000 00 0000.000</t>
  </si>
  <si>
    <t>000.1 01 02000 01 0000.110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</si>
  <si>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</si>
  <si>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</si>
  <si>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</si>
  <si>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</si>
  <si>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000.1 03 00000 00 0000.000</t>
  </si>
  <si>
    <t>000.1 03 02000 01 0000.110</t>
  </si>
  <si>
    <t>000.1 03 02230 01 0000.110</t>
  </si>
  <si>
    <t>000.1 03 02240 01 0000.110</t>
  </si>
  <si>
    <t>000.1 03 02250 01 0000.110</t>
  </si>
  <si>
    <t>000.1 03 02260 01 0000.110</t>
  </si>
  <si>
    <t>000.1 05 00000 00 0000.000</t>
  </si>
  <si>
    <t>000.1 05 02000 02 0000.110</t>
  </si>
  <si>
    <t>000.1 05 02010 02 1000.110</t>
  </si>
  <si>
    <t>000.1 05 04000 02 0000.110</t>
  </si>
  <si>
    <t>Налог, взимаемый в связи с применением патентной системы налогообложения, зачисляемый в бюджеты муниципальных районов</t>
  </si>
  <si>
    <t>000.1 08 00000 00 0000.000</t>
  </si>
  <si>
    <t>000.1 08 03000 01 0000.110</t>
  </si>
  <si>
    <t>Государственная пошлина по делам, рассматриваемым в судах общей юридикции, мировыми судьями (за исключением государственной пошлины по делам, рассматриваемым Верховного Суда Российской Федерации)</t>
  </si>
  <si>
    <t>000.1 09 00000 00 0000.000</t>
  </si>
  <si>
    <t>000.1 09 07000 00 0000.110</t>
  </si>
  <si>
    <t>Прочие налоги и сборы (по отмененным местным налогам и сборам)</t>
  </si>
  <si>
    <t>000.1 09 07030 00 0000.110</t>
  </si>
  <si>
    <t>000.1 09 07033 05 0000.110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</si>
  <si>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</si>
  <si>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000.1 09 07050 00 0000.110</t>
  </si>
  <si>
    <t>000.1 09 07053 05 0000.110</t>
  </si>
  <si>
    <t>Прочие местные налоги и сборы, мобилизуемые на территориях муниципальных районов</t>
  </si>
  <si>
    <t>000.1 11 00000 00 0000.000</t>
  </si>
  <si>
    <t>000.1 11 05000 00 0000.120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</si>
  <si>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</si>
  <si>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000.1 11 05010 00 0000.120</t>
  </si>
  <si>
    <t>000.1 11 05013 05 0000.120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</si>
  <si>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</si>
  <si>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000.1 11 05020 00 0000.120</t>
  </si>
  <si>
    <t>000.1 11 05025 05 0000.120</t>
  </si>
  <si>
    <t>000.1 11 05070 00 0000.120</t>
  </si>
  <si>
    <t>000.1 11 05075 05 0000.120</t>
  </si>
  <si>
    <t>000.1 11 05300 00 0000.120</t>
  </si>
  <si>
    <t>000.1 11 05310 00 0000.120</t>
  </si>
  <si>
    <t>000.1 11 05313 10 0000.120</t>
  </si>
  <si>
    <t>000.1 12 00000 00 0000.000</t>
  </si>
  <si>
    <t>000.1 12 01000 01 0000.120</t>
  </si>
  <si>
    <t>000.1 12 01010 01 0000.120</t>
  </si>
  <si>
    <t>Плата за выбросы загрязняющих веществ в атмосферный воздух стационарными объектам</t>
  </si>
  <si>
    <t>000.1 12 01030 01 0000.120</t>
  </si>
  <si>
    <t>Плата за сбросы загрязняющих веществ в водные объекты</t>
  </si>
  <si>
    <t>000.1 12 01040 01 0000.120</t>
  </si>
  <si>
    <t>Плата за размещение отходов производства и потребления</t>
  </si>
  <si>
    <t>000.1 12 01070 01 0000.120</t>
  </si>
  <si>
    <t>Плата за выбросы загрязняющих веществ, образующихся при сжигании на факельных установках и (или) рассеивании попутного нефтяного газа</t>
  </si>
  <si>
    <t>000.1 13 00000 00 0000.000</t>
  </si>
  <si>
    <t>000.1 13 01000 00 0000.130</t>
  </si>
  <si>
    <t>000.1 13 01990 00 0000.130</t>
  </si>
  <si>
    <t>000.1 13 01995 05 0000.130</t>
  </si>
  <si>
    <t>000.1 13 02000 00 0000.130</t>
  </si>
  <si>
    <t>000.1 13 02060 00 0000.130</t>
  </si>
  <si>
    <t>000.1 13 02065 05 0000.130</t>
  </si>
  <si>
    <t>000.1 13 02990 00 0000.130</t>
  </si>
  <si>
    <t>000.1 13 02995 05 0000.130</t>
  </si>
  <si>
    <t>000.1 14 00000 00 0000.000</t>
  </si>
  <si>
    <t>000.1 14 06000 00 0000.430</t>
  </si>
  <si>
    <t>000.1 14 06010 00 0000.430</t>
  </si>
  <si>
    <t>000.1 14 06013 05 0000.430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</si>
  <si>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</si>
  <si>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000.1 14 06300 00 0000.430</t>
  </si>
  <si>
    <t>000.1 14 06310 00 0000.430</t>
  </si>
  <si>
    <t>000.1 14 06313 10 0000.430</t>
  </si>
  <si>
    <t>000.1 16 00000 00 0000.000</t>
  </si>
  <si>
    <t>ШТРАФЫ, САНКЦИИ, 
ВОЗМЕЩЕНИЕ УЩЕРБА</t>
  </si>
  <si>
    <t>000.1 16 25000 00 0000.140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</si>
  <si>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</si>
  <si>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000.1 16 32000 00 0000.140</t>
  </si>
  <si>
    <t>000.1 16 32000 05 0000.140</t>
  </si>
  <si>
    <t>000.1 16 35000 00 0000.140</t>
  </si>
  <si>
    <t>000.1 16 35030 05 0000.140</t>
  </si>
  <si>
    <t>Суммы по искам о возмещении вреда, причиненного окружающей среде, подлежащие зачислению в бюджеты муниципальных районов</t>
  </si>
  <si>
    <t>000.1 16 37000 00 0000.140</t>
  </si>
  <si>
    <t xml:space="preserve">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  </t>
  </si>
  <si>
    <t>000.1 16 37040 05 0000.140</t>
  </si>
  <si>
    <t xml:space="preserve">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муниципальных районов  </t>
  </si>
  <si>
    <t>000.1 16 43000 01 0000.140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</si>
  <si>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</si>
  <si>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000.1 16 90000 00 0000.140</t>
  </si>
  <si>
    <t>000.1 16 90050 05 0000.140</t>
  </si>
  <si>
    <t>000.2 00 00000 00 0000.000</t>
  </si>
  <si>
    <t>000.2 02 00000 00 0000.000</t>
  </si>
  <si>
    <t>БЕЗВОЗМЕЗДНЫЕ ПОСТУПЛЕНИЯ ОТ ДРУГИХ БЮДЖЕТОВ БЮДЖЕТНОЙ СИСТЕМЫ РОССИЙСКОЙ ФЕДЕРАЦИИ</t>
  </si>
  <si>
    <t>000.2 02 10000 00 0000.151</t>
  </si>
  <si>
    <t>000.2 02 15001 00 0000.151</t>
  </si>
  <si>
    <t>000.2 02 15001 05 0000.151</t>
  </si>
  <si>
    <t>000.2 02 20000 00 0000.151</t>
  </si>
  <si>
    <t>000.2 02 20216 00 0000.151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</si>
  <si>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</si>
  <si>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000.2 02 20216 05 0000.151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</si>
  <si>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</si>
  <si>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000.2 02 29999 00 0000.151</t>
  </si>
  <si>
    <t>000.2 02 29999 05 0000.151</t>
  </si>
  <si>
    <t>000.2 02 30000 00 0000.151</t>
  </si>
  <si>
    <t>000.2 02 30024 00 0000.151</t>
  </si>
  <si>
    <t>000.2 02 30024 05 0000.151</t>
  </si>
  <si>
    <t>000.2 02 35082 00 0000.151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</si>
  <si>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</si>
  <si>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000.2 02 35082 05 0000.151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</si>
  <si>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</si>
  <si>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000.2 02 35120 00 0000.151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</si>
  <si>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</si>
  <si>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000.2 02 35120 05 0000.151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</si>
  <si>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</si>
  <si>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000.2 02 35930 00 0000.151</t>
  </si>
  <si>
    <t>000.2 02 35930 05 0000.151</t>
  </si>
  <si>
    <t>000.2 02 39999 00 0000.151</t>
  </si>
  <si>
    <t>Прочие субвенции</t>
  </si>
  <si>
    <t>000.2 02 39999 05 0000.151</t>
  </si>
  <si>
    <t>Прочие субвенции бюджетам муниципальных районов</t>
  </si>
  <si>
    <t>000.2 02 40000 00 0000.151</t>
  </si>
  <si>
    <t>000.2 02 40014 00 0000.151</t>
  </si>
  <si>
    <t>000.2 02 40014 05 0000.151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</si>
  <si>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</si>
  <si>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000.2 02 49999 00 0000.151</t>
  </si>
  <si>
    <t>000.2 02 49999 05 0000.151</t>
  </si>
  <si>
    <t>000.2 07 00000 00 0000.000</t>
  </si>
  <si>
    <t>000.2 07 05000 05 0000.180</t>
  </si>
  <si>
    <t>000.2 07 05020 05 0000.180</t>
  </si>
  <si>
    <t>Поступления от денежных пожертвований, предоставляемых физическими лицами получателям средств бюджетов муниципальных районов</t>
  </si>
  <si>
    <t>000.2 07 05030 05 0000.180</t>
  </si>
  <si>
    <t>000.2 18 00000 00 0000.000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</si>
  <si>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</si>
  <si>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000.2 18 00000 00 0000.151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</si>
  <si>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</si>
  <si>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000.2 18 00000 05 0000.151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</si>
  <si>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</si>
  <si>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000.2 18 60010 05 0000.151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</si>
  <si>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</si>
  <si>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000.2 18 00000 00 0000.180</t>
  </si>
  <si>
    <t>Доходы бюджетов бюджетной системы Российской Федерации от возврата организациями остатков субсидий прошлых лет</t>
  </si>
  <si>
    <t>000.2 18 05000 05 0000.180</t>
  </si>
  <si>
    <t>Доходы бюджетов муниципальных районов от возврата  организациями остатков субсидий прошлых лет</t>
  </si>
  <si>
    <t>000.2 18 05010 05 0000.180</t>
  </si>
  <si>
    <t>Доходы бюджетов муниципальных районов от возврата бюджетными учреждениями остатков субсидий прошлых лет</t>
  </si>
  <si>
    <t>000.2 18 05020 05 0000.180</t>
  </si>
  <si>
    <t>Доходы бюджетов муниципальных районов от возврата автономными учреждениями остатков субсидий прошлых лет</t>
  </si>
  <si>
    <t>000.2 19 00000 00 0000.000</t>
  </si>
  <si>
    <t>ВОЗВРАТ ОСТАТКОВ СУБСИДИЙ, СУБВЕНЦИЙ И ИНЫХ МЕЖБЮДЖЕТНЫХ ТРАНСФЕРТОВ, ИМЕЮЩИХ ЦЕЛЕВОЕ НАЗНАЧЕНИЕ, ПРОШЛЫХ ЛЕТ</t>
  </si>
  <si>
    <t>000.2 19 00000 05 0000.151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</si>
  <si>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</si>
  <si>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000.2 19 25018 05 0000.151</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</si>
  <si>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</si>
  <si>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000.2 19 60010 05 0000.151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</si>
  <si>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</si>
  <si>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Муниципальная программа «Развитие информационного общества на территории Соликамского муниципального района»   </t>
  </si>
  <si>
    <t xml:space="preserve">Подпрограмма «Информационное общество» </t>
  </si>
  <si>
    <t>05 2 01 00000</t>
  </si>
  <si>
    <t>Основное мероприятие «Сопровождение, поддержка и развитие IT-инфраструктуры»</t>
  </si>
  <si>
    <t>05 2 01 В0120</t>
  </si>
  <si>
    <t>Обеспечение рабочих мест специалистов обновленными программными комплексами</t>
  </si>
  <si>
    <t xml:space="preserve">Закупка товаров, работ и услуг для обеспечения государственных (муниципальных) нужд
</t>
  </si>
  <si>
    <t>05 2 01 В0130</t>
  </si>
  <si>
    <t>Установка и поддержание в актуальном состоянии технических средств защиты</t>
  </si>
  <si>
    <t>05 2 01 В0140</t>
  </si>
  <si>
    <t>Эксплуатационные расходы на информационно-коммуникационные технологии</t>
  </si>
  <si>
    <t xml:space="preserve">05 2 02 00000 </t>
  </si>
  <si>
    <t>Основное мероприятие «Создание условий информационного наполнения и технического сопровождения»</t>
  </si>
  <si>
    <t>05 2 02 В0180</t>
  </si>
  <si>
    <t>Подключение (обеспечение доступа) к внешним информационным ресурсам</t>
  </si>
  <si>
    <t>05 2 01 В0110</t>
  </si>
  <si>
    <t>Обеспечение рабочих мест специалистов современной компьютерной техникой</t>
  </si>
  <si>
    <t>06 2 01 2С250</t>
  </si>
  <si>
    <t>06 2 01 2Т060</t>
  </si>
  <si>
    <t>06 2 01 2У110</t>
  </si>
  <si>
    <t>06 2 01 2С050</t>
  </si>
  <si>
    <t>06 2 01 2П060</t>
  </si>
  <si>
    <t>93 0 00 2С090</t>
  </si>
  <si>
    <t xml:space="preserve">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t>
  </si>
  <si>
    <t xml:space="preserve">92 0 00 00040 </t>
  </si>
  <si>
    <t>Расходы на предоставление информационно-статистических услуг</t>
  </si>
  <si>
    <t>93 0 00 2С070</t>
  </si>
  <si>
    <t xml:space="preserve">Содержание жилых помещений специализированного жилищного фонда для детей-сирот, детей, оставшихся без попечения родителей, лиц из их числа
</t>
  </si>
  <si>
    <t xml:space="preserve">09 2 00 00000 </t>
  </si>
  <si>
    <t xml:space="preserve">Подпрограмма "Повышение антитеррористической защищенности" </t>
  </si>
  <si>
    <t>09 2 01 Б0007</t>
  </si>
  <si>
    <t>Организация и проведение тематических мероприятий: фестивали, конкурсы, викторины и другое, с целью формирования у граждан уважительного отношения к традициям и обычаям различных народов и национальностей</t>
  </si>
  <si>
    <t>Муниципальная программа «Развитие сельского хозяйства и устойчивое развитие сельских территорий в Соликамском муниципальном районе»</t>
  </si>
  <si>
    <t xml:space="preserve">Подпрограмма «Сельское хозяйство в Соликамском муниципальном районе» 
</t>
  </si>
  <si>
    <t xml:space="preserve">08 1 01 Э0060 </t>
  </si>
  <si>
    <t>Мероприятия, направленные на реализацию ведомственной целевой программы «Развитие сельского хозяйства в Соликамском муниципальном районе на период 2017-2019 годы»</t>
  </si>
  <si>
    <t>08 1 01 2У030</t>
  </si>
  <si>
    <t xml:space="preserve">Поддержка достижения целевых показателей региональных программ развития агропромышленного комплекса (расходы, не софинансируемые из федерального бюджета)
</t>
  </si>
  <si>
    <t>08 1 01 R5430</t>
  </si>
  <si>
    <t xml:space="preserve">Поддержка достижения целевых показателей региональных программ развития агропромышленного комплекса
</t>
  </si>
  <si>
    <t xml:space="preserve">08 2 00 00000 </t>
  </si>
  <si>
    <t xml:space="preserve">Подпрограмма «Малое и среднее предпринимательство в Соликамском муниципальном районе» </t>
  </si>
  <si>
    <t xml:space="preserve">08 2 01 00000 </t>
  </si>
  <si>
    <t xml:space="preserve">08 2 01 Э0050 </t>
  </si>
  <si>
    <t>92 0 00 00090</t>
  </si>
  <si>
    <t>Прочие расходы</t>
  </si>
  <si>
    <t>04 1 01 П0050</t>
  </si>
  <si>
    <t xml:space="preserve">Приведение в нормативное состояние автобусных остановок </t>
  </si>
  <si>
    <t>04 1 01 SТ040</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</si>
  <si>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</si>
  <si>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04 1 02 SТ040</t>
  </si>
  <si>
    <t>Разработка ПСД на реконструкцию моста через реку Усолка на автомобильной дороге "Соликамск-Половодово"</t>
  </si>
  <si>
    <t>04 1 02 Д0030</t>
  </si>
  <si>
    <t xml:space="preserve">Строительство автомобильной дороги общего пользования от автодороги "Чертеж–Тюлькино – Вильва"- Керчевский до д. Толстик </t>
  </si>
  <si>
    <t>92 0 00 SР080</t>
  </si>
  <si>
    <t>Софинансирование проектов инициативного бюджетирования</t>
  </si>
  <si>
    <t>Основное мероприятие «Развитие малого и среднего предпринимательства в Соликамском муниципальном районе»</t>
  </si>
  <si>
    <t xml:space="preserve">08 2 01 Э0020 </t>
  </si>
  <si>
    <t>Предоставление субсидий на возмещение затрат, связанных с реализацией товаров первой необходимости в отдаленных населенных пунктах и (или) труднодоступных населенных пунктах, где розничная торговля осуществляется единственной торговой структурой</t>
  </si>
  <si>
    <t xml:space="preserve">08 2 01 Э0030 </t>
  </si>
  <si>
    <t>Предоставление субсидий на возмещение затрат, связанных с осуществлением выездной торговли в малонаселенные пункты, где не осуществляется розничная торговля товарами первой необходимости</t>
  </si>
  <si>
    <t>04 2 01 SР040</t>
  </si>
  <si>
    <t>Основное мероприятие «Развитие системы теплоснабжения, водо-снабжения, водоотведения»</t>
  </si>
  <si>
    <t xml:space="preserve">04 4 00 00000 </t>
  </si>
  <si>
    <t xml:space="preserve">Подпрограмма «Формирование комфортной городской среды» </t>
  </si>
  <si>
    <t xml:space="preserve">04 4 01 00000 </t>
  </si>
  <si>
    <t>Основное мероприятие «Реализация приоритетного проекта «Формирование комфортной городской среды»»</t>
  </si>
  <si>
    <t>04 4 01 L5550</t>
  </si>
  <si>
    <t>Поддержка муниципальных программ формирования современной городской среды</t>
  </si>
  <si>
    <t>01 2 01 SР040</t>
  </si>
  <si>
    <t>02 1 01 2С180</t>
  </si>
  <si>
    <t xml:space="preserve">Предоставление мер социальной поддержки отдельным категориям граждан, работающим в государственных и муниципальных организациях Пермского края и проживающим в сельской местности и поселках городского типа (рабочих поселках), по оплате жилого помещения и коммунальных услуг
</t>
  </si>
  <si>
    <t xml:space="preserve">10 0 00 00000 </t>
  </si>
  <si>
    <t xml:space="preserve">Муниципальная программа «Меры социальной поддержки специалистов учреждений социальной сферы, молодых семей Соликамского муниципального района»
</t>
  </si>
  <si>
    <t xml:space="preserve">10 3 00 00000 </t>
  </si>
  <si>
    <t>Подпрограмма 3 «Обеспечение жильем молодых семей»</t>
  </si>
  <si>
    <t xml:space="preserve">10 3 01 00000 </t>
  </si>
  <si>
    <t>Основное мероприятие «Предоставление государственной поддержки в решении жилищной проблемы молодым семьям, признанным нуждающимися в улучшении жилищных условий»</t>
  </si>
  <si>
    <t>10 3 01 2С020</t>
  </si>
  <si>
    <t>Обеспечение жильем молодых семей</t>
  </si>
  <si>
    <t>93 0 00 2С080</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</si>
  <si>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</si>
  <si>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Основное мероприятие «Обеспечение деятельности органа местного самоуправления»</t>
  </si>
  <si>
    <t xml:space="preserve">07 4 02 Ф0010 </t>
  </si>
  <si>
    <t>Резервный фонд Администрации Соликамского муниципального района</t>
  </si>
  <si>
    <t>07 2 01 00400</t>
  </si>
  <si>
    <t xml:space="preserve">07 2 01 Д0010 </t>
  </si>
  <si>
    <t xml:space="preserve">09 0 00 00000 </t>
  </si>
  <si>
    <t xml:space="preserve">09 1 00 00000 </t>
  </si>
  <si>
    <t xml:space="preserve">Подпрограмма "Профилактика правонарушений на территории Соликамского муниципального района" </t>
  </si>
  <si>
    <t xml:space="preserve">09 1 01 00000 </t>
  </si>
  <si>
    <t>Основное мероприятие «Снижение количества преступлений и правонарушений»</t>
  </si>
  <si>
    <t xml:space="preserve">09 1 01 Б0001 </t>
  </si>
  <si>
    <t>Организация и проведение мероприятий, направленных на обеспечение занятости, досуговой жизни населения района (праздники, спортивные соревнования, фестивали и т.д.)</t>
  </si>
  <si>
    <t xml:space="preserve">09 1 02 00000 </t>
  </si>
  <si>
    <t>Основное мероприятие «Обеспечение безопасности дорожного движения»</t>
  </si>
  <si>
    <t>09 1 02 Б0002</t>
  </si>
  <si>
    <t>Изготовление и распространение информационных бюллетеней по профилактике дорожного движения</t>
  </si>
  <si>
    <t>09 1 02 Б0003</t>
  </si>
  <si>
    <t>Мероприятия по профилактике детского дорожно-транспортного травматизма и предупреждению ДТП с участием детей (праздники, фестивали, викторины, выставки, уроки и др.)</t>
  </si>
  <si>
    <t xml:space="preserve">09 1 03 00000 </t>
  </si>
  <si>
    <t xml:space="preserve">09 1 03 Б0005 </t>
  </si>
  <si>
    <t xml:space="preserve">09 1 03 Б0006 </t>
  </si>
  <si>
    <t>09 2 01 Б0008</t>
  </si>
  <si>
    <t>Монтаж автономных систем оповещения и управления эвакуации людей в образовательных учреждениях Соликамского муниципального района</t>
  </si>
  <si>
    <t>01 1 01 2Н020</t>
  </si>
  <si>
    <t>Единая субвенция на выполнение отдельных государственных полномочий в сфере образования</t>
  </si>
  <si>
    <t>01 1 02 2Н020</t>
  </si>
  <si>
    <t>01 2 01 2Н020</t>
  </si>
  <si>
    <t>01 2 02 2Н020</t>
  </si>
  <si>
    <t xml:space="preserve">10 1 00 00000 </t>
  </si>
  <si>
    <t>Подпрограмма «Меры социальной поддержки молодых специалистов учреждений отрасли образования Соликамского муниципального района»</t>
  </si>
  <si>
    <t xml:space="preserve">10 1 01 00000 </t>
  </si>
  <si>
    <t>Основное мероприятие «Предоставление мер социальной поддержки молодым специалистам муниципальных учреждений отрасли образования Соликамского муниципального района»</t>
  </si>
  <si>
    <t>0703</t>
  </si>
  <si>
    <t>Дополнительное образование детей</t>
  </si>
  <si>
    <t>01 4 01 2С140</t>
  </si>
  <si>
    <t>Мероприятия, направленные на реализацию ведомственной целевой программы «Одарённые дети» на 2017-2019 годы</t>
  </si>
  <si>
    <t>Основное мероприятие «Обеспечение деятельности органа местного самоуправления и муниципальных учреждений»</t>
  </si>
  <si>
    <t>01 5 02 2С170</t>
  </si>
  <si>
    <t xml:space="preserve">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
</t>
  </si>
  <si>
    <t xml:space="preserve">01 5 02 SС240 </t>
  </si>
  <si>
    <t xml:space="preserve">Обеспечение работников учреждений бюджетной сферы Пермского края путевками на санаторно-курортное лечение и оздоровление
</t>
  </si>
  <si>
    <t>02 2 01 К0070</t>
  </si>
  <si>
    <t>Мероприятия, направленные на развитие инфраструктуры сферы физической культуры и спорта</t>
  </si>
  <si>
    <t>Разработка проектно-сметной документации на строительство объекта "Универсальная спортивная площадка с искусственным покрытием межшкольного стадиона с.Городище Соликамского муниципального района"</t>
  </si>
  <si>
    <t>Разработка проектно-сметной документации на строительство объекта "Универсальная спортивная площадка с искусственным покрытием межшкольного стадиона с.Родники Соликамского муниципального района"</t>
  </si>
  <si>
    <t>Капитальный ремонт, ремонт сетей теплоснабжения, водоснабжения, водоотведения</t>
  </si>
  <si>
    <t>10 3 01 L4970</t>
  </si>
  <si>
    <t>Реализация мероприятий по обеспечению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</si>
  <si>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</si>
  <si>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Ремонт участков автомобильной дороги "Соликамск-Половодово" </t>
  </si>
  <si>
    <t>Ремонт участка автомобильной дороги общего пользования местного значения "Кунгур-Соликамск"-Усовский</t>
  </si>
  <si>
    <t>Ремонт участков автомобильной дороги общего пользования местного значения "Кунгур-Соликамск"-Родники</t>
  </si>
  <si>
    <t>Ремонт дороги общего пользования местного значения по ул. Центральная, д. Чертеж</t>
  </si>
  <si>
    <t>Ремонт участков автомобильной дороги "Черное-Сим"</t>
  </si>
  <si>
    <t>Ремонт внутрипоселковой дороги по адресу: от дома № 12 до дома № 28 улица Набережная, п. Тюлькино; Ремонт внутрипоселковой дороги по адресу: от дома № 2б до дома № 10 ул.Новая, п. Нижнее Мошево Тюлькинского сельского поселения</t>
  </si>
  <si>
    <t>Ремонт дорог по ул. Садовая, ул. Таежная, ул. Новостроек, ул. Молодежная, ул. Школьная, ул. Центральная в п. Сим и ул. Гагарина, ул. Школьная, ул. Аэродромная, ул. Таежная, пер. Комсомольский в п. Красный Берег Краснобережского сельского поселения</t>
  </si>
  <si>
    <t xml:space="preserve">Реализация проекта инициативного бюджетирования в Пермском крае «Устройство пешеходного перехода и автобусных остановок на участке автомобильной дороги от ПК7+500 до ПК8+000» п.Черное </t>
  </si>
  <si>
    <t>1.10.</t>
  </si>
  <si>
    <t>1.11.</t>
  </si>
  <si>
    <t>1.12.</t>
  </si>
  <si>
    <t>1.13.</t>
  </si>
  <si>
    <t>2.1.</t>
  </si>
  <si>
    <t>Приложение 2</t>
  </si>
  <si>
    <t xml:space="preserve">                       </t>
  </si>
  <si>
    <t xml:space="preserve">                            </t>
  </si>
  <si>
    <t xml:space="preserve">Подпрограмма «Развитие муниципальной службы и организация деятельности в Администрации Соликамского муниципального района» </t>
  </si>
  <si>
    <t xml:space="preserve">Основное мероприятие «Обеспечение деятельности органа местного самоуправления»
</t>
  </si>
  <si>
    <t>06 2 01 2П040</t>
  </si>
  <si>
    <t xml:space="preserve">Составление протоколов об административных правонарушениях
</t>
  </si>
  <si>
    <t xml:space="preserve">Осуществление государственных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t>
  </si>
  <si>
    <t xml:space="preserve">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
</t>
  </si>
  <si>
    <t xml:space="preserve">Администрирование отдельных государственных полномочий по поддержке сельскохозяйственного производства
</t>
  </si>
  <si>
    <t xml:space="preserve">Образование комиссий по делам несовершеннолетних и защите их прав и организация их деятельности
</t>
  </si>
  <si>
    <t xml:space="preserve">Обеспечение хранения, комплектования, учета и использования архивных документов государственной части документов архивного фонда Пермского края
</t>
  </si>
  <si>
    <t>Организация работ по техническому учету объектов недвижимости (в том числе на бесхозяйное и выморочное имущество), обеспечению постановки их на государственный кадастровый учет, регистрация права муниципальной собственности</t>
  </si>
  <si>
    <t>Подпрограмма «Формирование общедоступной информационной среды»</t>
  </si>
  <si>
    <t>Основное мероприятие «Создание условий для удовлетворения потребностей граждан, органов власти, организаций Соликамского муниципального района в ретроспективной информации и сохранении для общества и государства документального исторического наследия района»</t>
  </si>
  <si>
    <t>Расходы на членские взносы</t>
  </si>
  <si>
    <t>92 0 00 00060</t>
  </si>
  <si>
    <t>Осуществление расходов по публично-нормативным обязательствам</t>
  </si>
  <si>
    <t xml:space="preserve">09 1 03 Б0004 </t>
  </si>
  <si>
    <t>04 4 01 SЖ090</t>
  </si>
  <si>
    <t>0310</t>
  </si>
  <si>
    <t>Обеспечение пожарной безопасности</t>
  </si>
  <si>
    <t xml:space="preserve">000.2 02 25497 00 0000 151
</t>
  </si>
  <si>
    <t>Субсидии бюджетам на реализацию мероприятий по обеспечению жильем молодых семей</t>
  </si>
  <si>
    <t>000.2 02 25497 05 0000.151</t>
  </si>
  <si>
    <t>Субсидии бюджетам муниципальных районов на реализацию мероприятий по обеспечению жильем молодых семей</t>
  </si>
  <si>
    <t xml:space="preserve">000.2 02 25555 00 0000 151
</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</si>
  <si>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</si>
  <si>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</si>
  <si>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</si>
  <si>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000.2 02 35543 00 0000 151</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</si>
  <si>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</si>
  <si>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000.2 02 35543 05 0000 151</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</si>
  <si>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</si>
  <si>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000.1 16 30030 00 0000.140</t>
  </si>
  <si>
    <t>Прочие денежные взыскания (штрафы) за правонарушения в области дорожного движения</t>
  </si>
  <si>
    <t>Орган местного самоуправления муниципального образования Соликамская городская Дума</t>
  </si>
  <si>
    <t>Орган местного самоуправления Соликамского городского округа администрация города Соликамска</t>
  </si>
  <si>
    <t xml:space="preserve">92 0 00 00070 </t>
  </si>
  <si>
    <t>Возмещение расходов на оплату коммунальных услуг и услуг по содержанию общедомового имущества</t>
  </si>
  <si>
    <t>04 1 01 П0040</t>
  </si>
  <si>
    <t>Отбор проб и проведение лабораторных испытаний асфальтобетонной смеси и кернов асфальтобетонного покрытия, устроенного при ремонте автомобильных дорог Соликамского муниципального района</t>
  </si>
  <si>
    <t xml:space="preserve">Капитальные вложения в объекты государственной
(муниципальной) собственности
</t>
  </si>
  <si>
    <t>Управление имущественных отношений администрации г.Соликамска</t>
  </si>
  <si>
    <t>Управление образования администрации города Соликамска</t>
  </si>
  <si>
    <t>Управление культуры администрации города Соликамска</t>
  </si>
  <si>
    <t>Комитет по физической культуре и спорту администрации города Соликамска</t>
  </si>
  <si>
    <t>Финансовое управление администрации города Соликамска</t>
  </si>
  <si>
    <t xml:space="preserve">Капитальные вложения в объекты государственной (муниципальной) собственности
</t>
  </si>
  <si>
    <t>0900</t>
  </si>
  <si>
    <t>0909</t>
  </si>
  <si>
    <t>93 0 00 2А180</t>
  </si>
  <si>
    <t>Реализация мероприятий по созданию условий осуществления медицинской деятельности в модульных зданиях</t>
  </si>
  <si>
    <t>Другие вопросы в области здравоохранения</t>
  </si>
  <si>
    <t>Здравоохранение</t>
  </si>
  <si>
    <t>Ремонт участков автомобильной дороги "Сим – Красный Берег"</t>
  </si>
  <si>
    <t>Ремонт участка дороги ул. Уральская д. Села</t>
  </si>
  <si>
    <t>Ремонт дороги ул. Мира (от дома № 22 до дома № 26) в с. Тохтуева</t>
  </si>
  <si>
    <t>Ремонт участка автодороги Черное-Лога</t>
  </si>
  <si>
    <t>1.14.</t>
  </si>
  <si>
    <t>Ремонт участка автодороги "Чертеж-Тюлькино-Вильва"-Керчевский</t>
  </si>
  <si>
    <t>1.15.</t>
  </si>
  <si>
    <t>Ремонт участка автомобильной дороги по ул. Набережная от  пересечения с ул. Первомайская до дома № 34 в п. Тюлькино</t>
  </si>
  <si>
    <t>1.16.</t>
  </si>
  <si>
    <t>1.17.</t>
  </si>
  <si>
    <t>1.18.</t>
  </si>
  <si>
    <t>1.19.</t>
  </si>
  <si>
    <t>Приложение 7</t>
  </si>
  <si>
    <t>Наименование муниципальной программы, подпрограммы</t>
  </si>
  <si>
    <t>Муниципальная программа "Развитие системы образования Соликамского муниципального района"</t>
  </si>
  <si>
    <t>Подпрограмма "Развитие системы общего (начального, основного, среднего) образования"</t>
  </si>
  <si>
    <t>Подпрограмма "Развитие системы дополнительного образования и воспитания детей"</t>
  </si>
  <si>
    <t>Подпрограмма "Оздоровление, отдых и занятость детей и подростков"</t>
  </si>
  <si>
    <t>Подпрограмма "Обеспечение реализации муниципальной программы"</t>
  </si>
  <si>
    <t>Муниципальная программа "Развитие культуры, молодёжной политики, физической культуры и спорта в Соликамском муниципальном районе"</t>
  </si>
  <si>
    <t>Подпрограмма "Развитие культуры и молодежной политики"</t>
  </si>
  <si>
    <t>Подпрограмма "Развитие физической культуры и спорта"</t>
  </si>
  <si>
    <t>Муниципальная программа "Управление муниципальным имуществом муниципального образования "Соликамский муниципальный район"</t>
  </si>
  <si>
    <t>Подпрограмма "Управление земельными отношениями Соликамского муниципального района"</t>
  </si>
  <si>
    <t>Подпрограмма "Управление имуществом Соликамского муниципального района"</t>
  </si>
  <si>
    <t>Муниципальная программа "Создание комфортной среды проживания в Соликамском муниципальном районе"</t>
  </si>
  <si>
    <t>Подпрограмма "Развитие дорожно-транспортной инфраструктуры Соликамского муниципального района"</t>
  </si>
  <si>
    <t>Подпрограмма "Развитие коммунально-инженерной инфраструктуры Соликамского муниципального района"</t>
  </si>
  <si>
    <t>Подпрограмма «Формирование комфортной городской среды»</t>
  </si>
  <si>
    <t>Муниципальная программа «Развитие информационного общества на территории Соликамского муниципального района»</t>
  </si>
  <si>
    <t>Подпрограмма «Информационное общество»</t>
  </si>
  <si>
    <t>Муниципальная программа "Совершенствование муниципального управления в Соликамском муниципальном районе"</t>
  </si>
  <si>
    <t>Подпрограмма «Развитие муниципальной службы и организация деятельности в Администрации Соликамского муниципального района»</t>
  </si>
  <si>
    <t>Муниципальная программа "Повышение эффективности управления муниципальными финансами в Соликамском муниципальном районе"</t>
  </si>
  <si>
    <t>Подпрограмма "Нормативно-методическое обеспечение и организация бюджетного процесса в Соликамском муниципальном районе"</t>
  </si>
  <si>
    <t>Подпрограмма "Повышение финансовой устойчивости бюджетов сельских поселений, входящих в состав Соликамского муниципального района"</t>
  </si>
  <si>
    <t>Подпрограмма «Сельское хозяйство в Соликамском муниципальном районе»</t>
  </si>
  <si>
    <t>Подпрограмма «Малое и среднее предпринимательство в Соликамском муниципальном районе»</t>
  </si>
  <si>
    <t>Подпрограмма "Профилактика правонарушений на территории Соликамского муниципального района"</t>
  </si>
  <si>
    <t>Подпрограмма "Повышение антитеррористической защищенности"</t>
  </si>
  <si>
    <t>Муниципальная программа «Меры социальной поддержки специалистов учреждений социальной сферы, молодых семей Соликамского муниципального района»</t>
  </si>
  <si>
    <t>Подпрограмма "Меры социальной поддержки молодых специалистов учреждений отрасли образования Соликамского муниципального района"</t>
  </si>
  <si>
    <t>Непрограммные направления расходов</t>
  </si>
  <si>
    <t>Приложение 4</t>
  </si>
  <si>
    <t>Дотации бюджетам муниципальных районов на поддержку мер по обеспечению сбалансированности бюджетов</t>
  </si>
  <si>
    <t>000.2 02 15002 05 0000.151</t>
  </si>
  <si>
    <t>000.2 02 15002 00 0000.151</t>
  </si>
  <si>
    <t>Дотации бюджетам на поддержку мер по обеспечению сбалансированности бюджетов</t>
  </si>
  <si>
    <t>000.1 16 33000 00 0000.140</t>
  </si>
  <si>
    <t>000.1 16 33050 05 0000.140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</si>
  <si>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</si>
  <si>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</si>
  <si>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Исполнение бюджета Соликамского муниципального района по ведомственной структуре расходов за 2018 год</t>
  </si>
  <si>
    <t>000.1 01 02010 01 0000.110</t>
  </si>
  <si>
    <t>000.1 01 02020 01 0000.110</t>
  </si>
  <si>
    <t>000.1 01 02030 01 0000.110</t>
  </si>
  <si>
    <t>000.1 01 02040 01 0000.110</t>
  </si>
  <si>
    <t>000.1 08 03010 01 0000.110</t>
  </si>
  <si>
    <t>000.1 05 04020 02 0000.110</t>
  </si>
  <si>
    <t>к решению Соликамской</t>
  </si>
  <si>
    <t>городской Думы</t>
  </si>
  <si>
    <t>Исполнение доходной части бюджета Соликамского муниципального района по кодам классификации доходов за 2018 год</t>
  </si>
  <si>
    <t>Код бюджетной класссификации</t>
  </si>
  <si>
    <t>главного администратора доходов бюджета</t>
  </si>
  <si>
    <t>4</t>
  </si>
  <si>
    <t>доходов бюджета Соликамского муниципального района</t>
  </si>
  <si>
    <t>Наименование показателя</t>
  </si>
  <si>
    <t>048</t>
  </si>
  <si>
    <t>Федеральная служба по надзору в сфере природопользования</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</si>
  <si>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</si>
  <si>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</si>
  <si>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</si>
  <si>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</si>
  <si>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</si>
  <si>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11201041016000120</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</si>
  <si>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</si>
  <si>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</si>
  <si>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Федеральное агентство по рыболовству</t>
  </si>
  <si>
    <t>076</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</si>
  <si>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</si>
  <si>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</si>
  <si>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Федеральное казначейство</t>
  </si>
  <si>
    <t>10302230010000110</t>
  </si>
  <si>
    <t>10302240010000110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</si>
  <si>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</si>
  <si>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</si>
  <si>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</si>
  <si>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182</t>
  </si>
  <si>
    <t>Федеральная налоговая служба</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</si>
  <si>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</si>
  <si>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</si>
  <si>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</si>
  <si>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</si>
  <si>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</si>
  <si>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</si>
  <si>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</si>
  <si>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</si>
  <si>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</si>
  <si>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</si>
  <si>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</si>
  <si>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</si>
  <si>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</si>
  <si>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</si>
  <si>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</si>
  <si>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</si>
  <si>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</si>
  <si>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</si>
  <si>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</si>
  <si>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</si>
  <si>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</si>
  <si>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</si>
  <si>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</si>
  <si>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</si>
  <si>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</si>
  <si>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</si>
  <si>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</si>
  <si>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</si>
  <si>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</si>
  <si>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</si>
  <si>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</si>
  <si>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</si>
  <si>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</si>
  <si>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</si>
  <si>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10907033051000110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</si>
  <si>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</si>
  <si>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10907053052100110</t>
  </si>
  <si>
    <t>Прочие местные налоги и сборы, мобилизуемые на территориях муниципальных районов (пени по соответствующему платежу)</t>
  </si>
  <si>
    <t>10907053052200110</t>
  </si>
  <si>
    <t>Прочие местные налоги и сборы, мобилизуемые на территориях муниципальных районов (проценты по соответствующему платежу)</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</si>
  <si>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</si>
  <si>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</si>
  <si>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188</t>
  </si>
  <si>
    <t>Министерство внутренних дел Российской Федерации</t>
  </si>
  <si>
    <t>11625074056000140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</si>
  <si>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</si>
  <si>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</si>
  <si>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</si>
  <si>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11643000010000140</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</si>
  <si>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</si>
  <si>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</si>
  <si>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321</t>
  </si>
  <si>
    <t>Федеральная служба государственной регистрации, кадастра и картографии</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</si>
  <si>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</si>
  <si>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</si>
  <si>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622</t>
  </si>
  <si>
    <t>Орган местного самоуправления Соликамского городского округа администрации города Соликамска</t>
  </si>
  <si>
    <t>11302065050000130</t>
  </si>
  <si>
    <t>11302995050000130</t>
  </si>
  <si>
    <t>11690050050000140</t>
  </si>
  <si>
    <t>11701050050000180</t>
  </si>
  <si>
    <t>Невыясненные поступления, зачисляемые в бюджеты муниципальных районов</t>
  </si>
  <si>
    <t>20225555050000151</t>
  </si>
  <si>
    <t>20229999050000151</t>
  </si>
  <si>
    <t>20230024050000151</t>
  </si>
  <si>
    <t>20235082050000151</t>
  </si>
  <si>
    <t>20235543050000151</t>
  </si>
  <si>
    <t>20235930050000151</t>
  </si>
  <si>
    <t>20239999050000151</t>
  </si>
  <si>
    <t>20240014050000151</t>
  </si>
  <si>
    <t>20249999050000151</t>
  </si>
  <si>
    <t>623</t>
  </si>
  <si>
    <t>624</t>
  </si>
  <si>
    <t>629</t>
  </si>
  <si>
    <t>631</t>
  </si>
  <si>
    <t>Комитет по архитектуре и градостроительству администрации г.Соликамска</t>
  </si>
  <si>
    <t>11105013050000120</t>
  </si>
  <si>
    <t>11105025050000120</t>
  </si>
  <si>
    <t>11105075050000120</t>
  </si>
  <si>
    <t>11105313100000120</t>
  </si>
  <si>
    <t>11406013050000430</t>
  </si>
  <si>
    <t>11406313100000430</t>
  </si>
  <si>
    <t>11632000050000140</t>
  </si>
  <si>
    <t>20225497050000151</t>
  </si>
  <si>
    <t>670</t>
  </si>
  <si>
    <t>20215001050000151</t>
  </si>
  <si>
    <t>20215002050000151</t>
  </si>
  <si>
    <t>702</t>
  </si>
  <si>
    <t>Администрация Соликамского муниципального района</t>
  </si>
  <si>
    <t>710</t>
  </si>
  <si>
    <t>715</t>
  </si>
  <si>
    <t>716</t>
  </si>
  <si>
    <t>11301995050000130</t>
  </si>
  <si>
    <t>11637040050000140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</si>
  <si>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</si>
  <si>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20220216050000151</t>
  </si>
  <si>
    <t>20235120050000151</t>
  </si>
  <si>
    <t>20705020050000180</t>
  </si>
  <si>
    <t>20705030050000180</t>
  </si>
  <si>
    <t>21925018050000151</t>
  </si>
  <si>
    <t>21960010050000151</t>
  </si>
  <si>
    <t>21860010050000151</t>
  </si>
  <si>
    <t>21805010050000180</t>
  </si>
  <si>
    <t>21805020050000180</t>
  </si>
  <si>
    <t>Земское Собрание Соликамского муниципального района</t>
  </si>
  <si>
    <t>815</t>
  </si>
  <si>
    <t>Государственная инспекция по экологии и природопользованию Пермского края</t>
  </si>
  <si>
    <t>11625050010000140</t>
  </si>
  <si>
    <t>Денежные взыскания (штрафы) за нарушение законодательства в области охраны окружающей среды</t>
  </si>
  <si>
    <t>816</t>
  </si>
  <si>
    <t>Министерство природных ресурсов, лесного хозяйства и экологии Пермского края</t>
  </si>
  <si>
    <t>11625030010000140</t>
  </si>
  <si>
    <t>Денежные взыскания (штрафы) за нарушение законодательства Российской Федерации об охране и использовании животного мира</t>
  </si>
  <si>
    <t>11635030050000140</t>
  </si>
  <si>
    <t>840</t>
  </si>
  <si>
    <t>Министерство финансов Пермского края</t>
  </si>
  <si>
    <t>11633050050000140</t>
  </si>
  <si>
    <t>843</t>
  </si>
  <si>
    <t>Государственная инспекция вневедомственного контроля Пермского края</t>
  </si>
  <si>
    <t>Раздел</t>
  </si>
  <si>
    <t>подраздел</t>
  </si>
  <si>
    <t>Наименование КФСР</t>
  </si>
  <si>
    <t>01</t>
  </si>
  <si>
    <t/>
  </si>
  <si>
    <t>Общегосударственные вопросы</t>
  </si>
  <si>
    <t>0107</t>
  </si>
  <si>
    <t>Обеспечение проведения выборов и референдумов</t>
  </si>
  <si>
    <t>03</t>
  </si>
  <si>
    <t>Национальная безопасность и правоохранителная деятельность</t>
  </si>
  <si>
    <t>0309</t>
  </si>
  <si>
    <t>Защита населения и территории от чрезвычайных ситуаций природного и техногенного характера, гражданская оборона</t>
  </si>
  <si>
    <t>04</t>
  </si>
  <si>
    <t>Национальная экономика</t>
  </si>
  <si>
    <t>05</t>
  </si>
  <si>
    <t>Жилищно-коммунальное хозяйство</t>
  </si>
  <si>
    <t>0501</t>
  </si>
  <si>
    <t>Жилищное хозяйство</t>
  </si>
  <si>
    <t>06</t>
  </si>
  <si>
    <t>Охрана окружающей среды</t>
  </si>
  <si>
    <t>07</t>
  </si>
  <si>
    <t>Образование</t>
  </si>
  <si>
    <t>Молодежная политика и оздоровление детей</t>
  </si>
  <si>
    <t>08</t>
  </si>
  <si>
    <t>Культура, кинематография</t>
  </si>
  <si>
    <t>10</t>
  </si>
  <si>
    <t>Социальная политика</t>
  </si>
  <si>
    <t>1003</t>
  </si>
  <si>
    <t>Охрана семьи детства</t>
  </si>
  <si>
    <t>11</t>
  </si>
  <si>
    <t>Физическая культура и спорт</t>
  </si>
  <si>
    <t>14</t>
  </si>
  <si>
    <t>Межбюджетные трансферты общего характера бюджетам субъектов РФ и муниципальных образований</t>
  </si>
  <si>
    <t>Дотации на выравнивание бюджетной обеспеченности субъектов Российской Федерации и муниципальных образований</t>
  </si>
  <si>
    <t>1403</t>
  </si>
  <si>
    <t>Прочие межбюджетные трансферты общего характера</t>
  </si>
  <si>
    <t>Итого расходов:</t>
  </si>
  <si>
    <t>Исполнение бюджета Соликамского муниципального района по разделам и подразделам классификации расходов бюджета за 2018 год</t>
  </si>
  <si>
    <t>09</t>
  </si>
  <si>
    <t>Исполнение расходов по муниципальным программам и непрограммным направлениям деятельности бюджета Соликамского муниципального района
за 2018 год</t>
  </si>
  <si>
    <t>Приложение 5</t>
  </si>
  <si>
    <t xml:space="preserve">06 2 01 2К080 </t>
  </si>
  <si>
    <t>Образование комиссий по делам несовершеннолетних и защите их прав и организация их деятельности</t>
  </si>
  <si>
    <t>04 1 02 00000</t>
  </si>
  <si>
    <t>Основное мероприятие "Строительство (реконструкция) автомобильных дорог общего пользования местного значения</t>
  </si>
  <si>
    <t>01 1 01 SP040</t>
  </si>
  <si>
    <t>01 2 02 2Н080</t>
  </si>
  <si>
    <t>Стимулирование педагогических работников по результатам обучения школьников</t>
  </si>
  <si>
    <t xml:space="preserve">02 1 01 К0040 </t>
  </si>
  <si>
    <t>Сохранение и развитие библиотечного дела</t>
  </si>
  <si>
    <t>10 0 00 00000</t>
  </si>
  <si>
    <t>10 3 00 00000</t>
  </si>
  <si>
    <t>92 0 00 00050</t>
  </si>
  <si>
    <t>Расходы на непредвиденные мероприятия, связанные с ликвидацией и преобразованием органов местного самоуправления и муниципальных учреждений Соликамского муниципального района</t>
  </si>
  <si>
    <t>Исполнение расходов муниципального дорожного фонда Соликамского муниципального района за 2018 год</t>
  </si>
  <si>
    <t xml:space="preserve">от      2019 № </t>
  </si>
  <si>
    <t xml:space="preserve">от     2019 № </t>
  </si>
  <si>
    <t xml:space="preserve">от         2019 № </t>
  </si>
  <si>
    <t xml:space="preserve">от        2019 № </t>
  </si>
  <si>
    <t>Источники финансирования дефицита бюджета Соликамского муниципального района по кодам классификации источников финансирования дефицитов бюджетов  за 2018 год</t>
  </si>
  <si>
    <t>1</t>
  </si>
  <si>
    <t>2</t>
  </si>
  <si>
    <t>3</t>
  </si>
  <si>
    <t>5</t>
  </si>
  <si>
    <t>Наименование групп, подгрупп, статей, подстатей и  элементов  классификации доходов</t>
  </si>
  <si>
    <t>Исполнено</t>
  </si>
  <si>
    <t xml:space="preserve"> тыс. руб.</t>
  </si>
  <si>
    <t>Исполнение доходной части бюджета Соликамского муниципального района по кодам поступлений в бюджет (группам, подгруппам, статьям, подстатьям, элементам классификации доходов) за 2018 год</t>
  </si>
  <si>
    <t xml:space="preserve">Уточненный план 
</t>
  </si>
  <si>
    <t>тыс. руб.</t>
  </si>
  <si>
    <t xml:space="preserve">% исполнения </t>
  </si>
  <si>
    <t>7</t>
  </si>
  <si>
    <t>Ведом
ство</t>
  </si>
  <si>
    <t>НАЛОГИ НА ТОВАРЫ (РАБОТЫ, УСЛУГИ), РЕАЛИЗУЕМЫЕ НА ТЕРРИТОРИИ РОССИЙСКОЙ ФЕДЕРАЦИИ</t>
  </si>
  <si>
    <t>Подпрограмма "Развитие системы дошкольного образования"</t>
  </si>
  <si>
    <t>Подпрограмма "Формирование общедоступной информационно-коммуникационной среды"</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</si>
</sst>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_р_._-;\-* #,##0.0_р_._-;_-* &quot;-&quot;??_р_._-;_-@_-"/>
    <numFmt numFmtId="174" formatCode="#,##0.0_ ;\-#,##0.0\ "/>
    <numFmt numFmtId="175" formatCode="#,##0.0"/>
    <numFmt numFmtId="176" formatCode="?"/>
    <numFmt numFmtId="177" formatCode="_(* #,##0.00_);_(* \(#,##0.00\);_(* &quot;-&quot;??_);_(@_)"/>
    <numFmt numFmtId="178" formatCode="0.0000"/>
    <numFmt numFmtId="179" formatCode="0.000"/>
    <numFmt numFmtId="180" formatCode="0.0000000"/>
    <numFmt numFmtId="181" formatCode="0.000000"/>
    <numFmt numFmtId="182" formatCode="0.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_-* #,##0.0_р_._-;\-* #,##0.0_р_._-;_-* &quot;-&quot;?_р_._-;_-@_-"/>
  </numFmts>
  <fonts count="76">
    <font>
      <sz val="11"/>
      <color theme="1"/>
      <name val="Calibri"/>
      <family val="2"/>
    </font>
    <font>
      <sz val="11"/>
      <color indexed="8"/>
      <name val="Calibri"/>
      <family val="2"/>
    </font>
    <font>
      <sz val="10"/>
      <name val="Arial"/>
      <family val="2"/>
    </font>
    <font>
      <sz val="10"/>
      <name val="Times New Roman"/>
      <family val="1"/>
    </font>
    <font>
      <sz val="9"/>
      <name val="Times New Roman"/>
      <family val="1"/>
    </font>
    <font>
      <b/>
      <sz val="12"/>
      <name val="Times New Roman"/>
      <family val="1"/>
    </font>
    <font>
      <sz val="8"/>
      <name val="Arial"/>
      <family val="2"/>
    </font>
    <font>
      <b/>
      <sz val="11"/>
      <name val="Times New Roman"/>
      <family val="1"/>
    </font>
    <font>
      <sz val="11"/>
      <name val="Times New Roman"/>
      <family val="1"/>
    </font>
    <font>
      <b/>
      <sz val="9"/>
      <name val="Times New Roman"/>
      <family val="1"/>
    </font>
    <font>
      <b/>
      <sz val="10"/>
      <name val="Times New Roman"/>
      <family val="1"/>
    </font>
    <font>
      <sz val="10"/>
      <name val="Arial Cyr"/>
      <family val="0"/>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b/>
      <sz val="10"/>
      <color indexed="8"/>
      <name val="Times New Roman"/>
      <family val="1"/>
    </font>
    <font>
      <sz val="11"/>
      <name val="Calibri"/>
      <family val="2"/>
    </font>
    <font>
      <b/>
      <sz val="9"/>
      <color indexed="8"/>
      <name val="Times New Roman"/>
      <family val="1"/>
    </font>
    <font>
      <i/>
      <sz val="10"/>
      <color indexed="8"/>
      <name val="Times New Roman"/>
      <family val="1"/>
    </font>
    <font>
      <b/>
      <sz val="11"/>
      <color indexed="8"/>
      <name val="Times New Roman"/>
      <family val="1"/>
    </font>
    <font>
      <b/>
      <i/>
      <sz val="11"/>
      <color indexed="8"/>
      <name val="Times New Roman"/>
      <family val="1"/>
    </font>
    <font>
      <sz val="9"/>
      <color indexed="8"/>
      <name val="Times New Roman"/>
      <family val="1"/>
    </font>
    <font>
      <b/>
      <sz val="12"/>
      <color indexed="8"/>
      <name val="Times New Roman"/>
      <family val="1"/>
    </font>
    <font>
      <sz val="12"/>
      <color indexed="8"/>
      <name val="Calibri"/>
      <family val="2"/>
    </font>
    <font>
      <sz val="12"/>
      <name val="Times New Roman"/>
      <family val="1"/>
    </font>
    <font>
      <i/>
      <sz val="11"/>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sz val="10"/>
      <color rgb="FF000000"/>
      <name val="Times New Roman"/>
      <family val="1"/>
    </font>
    <font>
      <b/>
      <sz val="10"/>
      <color rgb="FF000000"/>
      <name val="Times New Roman"/>
      <family val="1"/>
    </font>
    <font>
      <sz val="11"/>
      <color rgb="FF000000"/>
      <name val="Times New Roman"/>
      <family val="1"/>
    </font>
    <font>
      <b/>
      <sz val="10"/>
      <color theme="1"/>
      <name val="Times New Roman"/>
      <family val="1"/>
    </font>
    <font>
      <b/>
      <sz val="9"/>
      <color theme="1"/>
      <name val="Times New Roman"/>
      <family val="1"/>
    </font>
    <font>
      <i/>
      <sz val="10"/>
      <color theme="1"/>
      <name val="Times New Roman"/>
      <family val="1"/>
    </font>
    <font>
      <b/>
      <sz val="11"/>
      <color theme="1"/>
      <name val="Times New Roman"/>
      <family val="1"/>
    </font>
    <font>
      <b/>
      <i/>
      <sz val="11"/>
      <color theme="1"/>
      <name val="Times New Roman"/>
      <family val="1"/>
    </font>
    <font>
      <sz val="9"/>
      <color theme="1"/>
      <name val="Times New Roman"/>
      <family val="1"/>
    </font>
    <font>
      <b/>
      <sz val="12"/>
      <color theme="1"/>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bottom style="thin"/>
    </border>
    <border>
      <left style="thin"/>
      <right style="thin"/>
      <top style="thin"/>
      <bottom/>
    </border>
    <border>
      <left style="thin"/>
      <right/>
      <top/>
      <bottom/>
    </border>
    <border>
      <left/>
      <right style="thin"/>
      <top style="thin"/>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right style="thin"/>
      <top/>
      <bottom>
        <color indexed="63"/>
      </bottom>
    </border>
    <border>
      <left style="hair"/>
      <right style="hair"/>
      <top style="hair"/>
      <bottom style="hair"/>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top>
        <color indexed="63"/>
      </top>
      <bottom>
        <color indexed="63"/>
      </bottom>
    </border>
    <border>
      <left/>
      <right/>
      <top/>
      <bottom style="thin"/>
    </border>
    <border>
      <left style="thin"/>
      <right/>
      <top style="thin"/>
      <bottom style="thin"/>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1" fillId="0" borderId="0">
      <alignment/>
      <protection/>
    </xf>
    <xf numFmtId="0" fontId="6" fillId="30" borderId="0">
      <alignment/>
      <protection/>
    </xf>
    <xf numFmtId="0" fontId="57" fillId="0" borderId="0" applyNumberForma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3" borderId="0" applyNumberFormat="0" applyBorder="0" applyAlignment="0" applyProtection="0"/>
  </cellStyleXfs>
  <cellXfs count="264">
    <xf numFmtId="0" fontId="0"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8" fillId="0" borderId="0" xfId="0" applyFont="1" applyAlignment="1">
      <alignment/>
    </xf>
    <xf numFmtId="0" fontId="63" fillId="0" borderId="0" xfId="0" applyFont="1" applyAlignment="1">
      <alignment/>
    </xf>
    <xf numFmtId="173" fontId="63" fillId="34" borderId="10" xfId="66" applyNumberFormat="1" applyFont="1" applyFill="1" applyBorder="1" applyAlignment="1">
      <alignment/>
    </xf>
    <xf numFmtId="0" fontId="63" fillId="0" borderId="10" xfId="0" applyFont="1" applyBorder="1" applyAlignment="1">
      <alignment horizontal="center" vertical="center" wrapText="1"/>
    </xf>
    <xf numFmtId="0" fontId="64" fillId="0" borderId="0" xfId="0" applyFont="1" applyAlignment="1">
      <alignment/>
    </xf>
    <xf numFmtId="0" fontId="64" fillId="34" borderId="0" xfId="0" applyFont="1" applyFill="1" applyAlignment="1">
      <alignment/>
    </xf>
    <xf numFmtId="0" fontId="5" fillId="0" borderId="0" xfId="0" applyFont="1" applyAlignment="1">
      <alignment horizontal="center" wrapText="1"/>
    </xf>
    <xf numFmtId="49" fontId="10" fillId="0" borderId="10" xfId="0" applyNumberFormat="1" applyFont="1" applyBorder="1" applyAlignment="1">
      <alignment horizontal="center" vertical="center" wrapText="1"/>
    </xf>
    <xf numFmtId="49" fontId="10" fillId="0" borderId="10" xfId="0" applyNumberFormat="1" applyFont="1" applyBorder="1" applyAlignment="1">
      <alignment horizontal="left" vertical="center" wrapText="1"/>
    </xf>
    <xf numFmtId="175" fontId="10" fillId="0" borderId="10" xfId="0" applyNumberFormat="1"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175"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3" fillId="0" borderId="10" xfId="0" applyFont="1" applyBorder="1" applyAlignment="1">
      <alignment wrapText="1"/>
    </xf>
    <xf numFmtId="175" fontId="3" fillId="0" borderId="10" xfId="66"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175" fontId="10" fillId="0" borderId="10" xfId="66" applyNumberFormat="1" applyFont="1" applyFill="1" applyBorder="1" applyAlignment="1">
      <alignment horizontal="center" vertical="center" wrapText="1"/>
    </xf>
    <xf numFmtId="175" fontId="10" fillId="0" borderId="10" xfId="66" applyNumberFormat="1" applyFont="1" applyFill="1" applyBorder="1" applyAlignment="1">
      <alignment horizontal="center" vertical="center"/>
    </xf>
    <xf numFmtId="0" fontId="3" fillId="34" borderId="0" xfId="54" applyFont="1" applyFill="1" applyAlignment="1">
      <alignment wrapText="1"/>
      <protection/>
    </xf>
    <xf numFmtId="0" fontId="3" fillId="34" borderId="0" xfId="54" applyFont="1" applyFill="1">
      <alignment/>
      <protection/>
    </xf>
    <xf numFmtId="0" fontId="9" fillId="34" borderId="10" xfId="55" applyFont="1" applyFill="1" applyBorder="1" applyAlignment="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3" fillId="0" borderId="0" xfId="54" applyFont="1" applyAlignment="1">
      <alignment horizontal="left" wrapText="1"/>
      <protection/>
    </xf>
    <xf numFmtId="0" fontId="64" fillId="34" borderId="0" xfId="0" applyFont="1" applyFill="1" applyAlignment="1">
      <alignment horizontal="center" vertical="center"/>
    </xf>
    <xf numFmtId="0" fontId="8" fillId="34" borderId="10" xfId="0" applyNumberFormat="1" applyFont="1" applyFill="1" applyBorder="1" applyAlignment="1">
      <alignment horizontal="left" vertical="top" wrapText="1"/>
    </xf>
    <xf numFmtId="0" fontId="8" fillId="34" borderId="10" xfId="0" applyNumberFormat="1" applyFont="1" applyFill="1" applyBorder="1" applyAlignment="1">
      <alignment horizontal="left" vertical="center" wrapText="1"/>
    </xf>
    <xf numFmtId="0" fontId="8" fillId="34" borderId="10" xfId="58" applyNumberFormat="1" applyFont="1" applyFill="1" applyBorder="1" applyAlignment="1">
      <alignment horizontal="left" vertical="top" wrapText="1"/>
      <protection/>
    </xf>
    <xf numFmtId="0" fontId="0" fillId="0" borderId="0" xfId="0" applyAlignment="1">
      <alignment vertical="center"/>
    </xf>
    <xf numFmtId="0" fontId="5" fillId="0" borderId="0" xfId="0" applyFont="1" applyAlignment="1">
      <alignment horizontal="center" vertical="center" wrapText="1"/>
    </xf>
    <xf numFmtId="0" fontId="3" fillId="0" borderId="10" xfId="0" applyNumberFormat="1" applyFont="1" applyBorder="1" applyAlignment="1">
      <alignment wrapText="1"/>
    </xf>
    <xf numFmtId="176" fontId="3" fillId="0" borderId="10" xfId="0" applyNumberFormat="1" applyFont="1" applyBorder="1" applyAlignment="1">
      <alignment horizontal="left" vertical="center" wrapText="1"/>
    </xf>
    <xf numFmtId="0" fontId="65" fillId="0" borderId="11" xfId="33" applyNumberFormat="1" applyFont="1" applyFill="1" applyBorder="1" applyAlignment="1">
      <alignment horizontal="center" vertical="center" wrapText="1" readingOrder="1"/>
      <protection/>
    </xf>
    <xf numFmtId="0" fontId="65" fillId="0" borderId="11" xfId="33" applyNumberFormat="1" applyFont="1" applyFill="1" applyBorder="1" applyAlignment="1">
      <alignment horizontal="left" vertical="top" wrapText="1" readingOrder="1"/>
      <protection/>
    </xf>
    <xf numFmtId="0" fontId="3" fillId="0" borderId="10" xfId="0" applyNumberFormat="1" applyFont="1" applyBorder="1" applyAlignment="1">
      <alignment horizontal="left"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top" wrapText="1"/>
    </xf>
    <xf numFmtId="0" fontId="66" fillId="0" borderId="11" xfId="33" applyNumberFormat="1" applyFont="1" applyFill="1" applyBorder="1" applyAlignment="1">
      <alignment horizontal="center" vertical="center" wrapText="1" readingOrder="1"/>
      <protection/>
    </xf>
    <xf numFmtId="0" fontId="66" fillId="0" borderId="11" xfId="33" applyNumberFormat="1" applyFont="1" applyFill="1" applyBorder="1" applyAlignment="1">
      <alignment horizontal="left" vertical="center" wrapText="1" readingOrder="1"/>
      <protection/>
    </xf>
    <xf numFmtId="0" fontId="65" fillId="0" borderId="11" xfId="33" applyNumberFormat="1" applyFont="1" applyFill="1" applyBorder="1" applyAlignment="1">
      <alignment horizontal="left" vertical="center" wrapText="1" readingOrder="1"/>
      <protection/>
    </xf>
    <xf numFmtId="0" fontId="65" fillId="0" borderId="12" xfId="33" applyNumberFormat="1" applyFont="1" applyFill="1" applyBorder="1" applyAlignment="1">
      <alignment horizontal="left" vertical="center" wrapText="1" readingOrder="1"/>
      <protection/>
    </xf>
    <xf numFmtId="175" fontId="3" fillId="0" borderId="10" xfId="66" applyNumberFormat="1" applyFont="1" applyFill="1" applyBorder="1" applyAlignment="1">
      <alignment horizontal="center" vertical="center"/>
    </xf>
    <xf numFmtId="0" fontId="3" fillId="34" borderId="10" xfId="0" applyFont="1" applyFill="1" applyBorder="1" applyAlignment="1">
      <alignment vertical="top"/>
    </xf>
    <xf numFmtId="0" fontId="34" fillId="34" borderId="10" xfId="0" applyFont="1" applyFill="1" applyBorder="1" applyAlignment="1">
      <alignment vertical="top"/>
    </xf>
    <xf numFmtId="0" fontId="3" fillId="0" borderId="0" xfId="54" applyFont="1" applyAlignment="1">
      <alignment wrapText="1"/>
      <protection/>
    </xf>
    <xf numFmtId="0" fontId="0" fillId="0" borderId="0" xfId="0" applyAlignment="1">
      <alignment horizontal="center"/>
    </xf>
    <xf numFmtId="0" fontId="53" fillId="0" borderId="0" xfId="0" applyFont="1" applyAlignment="1">
      <alignment/>
    </xf>
    <xf numFmtId="0" fontId="0" fillId="34" borderId="0" xfId="0" applyFill="1" applyAlignment="1">
      <alignment/>
    </xf>
    <xf numFmtId="0" fontId="3" fillId="0" borderId="10" xfId="0" applyFont="1" applyFill="1" applyBorder="1" applyAlignment="1">
      <alignment horizontal="center" vertical="center" wrapText="1"/>
    </xf>
    <xf numFmtId="172" fontId="9" fillId="34" borderId="13" xfId="0" applyNumberFormat="1" applyFont="1" applyFill="1" applyBorder="1" applyAlignment="1">
      <alignment vertical="top"/>
    </xf>
    <xf numFmtId="0" fontId="8" fillId="34" borderId="10" xfId="0" applyFont="1" applyFill="1" applyBorder="1" applyAlignment="1">
      <alignment vertical="top"/>
    </xf>
    <xf numFmtId="0" fontId="10" fillId="34" borderId="10" xfId="0" applyFont="1" applyFill="1" applyBorder="1" applyAlignment="1">
      <alignment vertical="top"/>
    </xf>
    <xf numFmtId="172" fontId="64" fillId="0" borderId="10" xfId="0" applyNumberFormat="1" applyFont="1" applyBorder="1" applyAlignment="1">
      <alignment vertical="top"/>
    </xf>
    <xf numFmtId="0" fontId="64" fillId="0" borderId="10" xfId="0" applyFont="1" applyBorder="1" applyAlignment="1">
      <alignment vertical="top"/>
    </xf>
    <xf numFmtId="49" fontId="3" fillId="0" borderId="10" xfId="0" applyNumberFormat="1" applyFont="1" applyFill="1" applyBorder="1" applyAlignment="1">
      <alignment horizontal="center" vertical="center" wrapText="1"/>
    </xf>
    <xf numFmtId="172" fontId="4" fillId="34" borderId="13" xfId="0" applyNumberFormat="1" applyFont="1" applyFill="1" applyBorder="1" applyAlignment="1">
      <alignment vertical="top"/>
    </xf>
    <xf numFmtId="0" fontId="9" fillId="34" borderId="10" xfId="0" applyFont="1" applyFill="1" applyBorder="1" applyAlignment="1" applyProtection="1">
      <alignment horizontal="center" vertical="top"/>
      <protection locked="0"/>
    </xf>
    <xf numFmtId="0" fontId="10" fillId="34" borderId="10" xfId="0" applyFont="1" applyFill="1" applyBorder="1" applyAlignment="1" applyProtection="1">
      <alignment vertical="top" wrapText="1"/>
      <protection locked="0"/>
    </xf>
    <xf numFmtId="49" fontId="3" fillId="34" borderId="10" xfId="0" applyNumberFormat="1" applyFont="1" applyFill="1" applyBorder="1" applyAlignment="1">
      <alignment horizontal="center" vertical="top"/>
    </xf>
    <xf numFmtId="0" fontId="3" fillId="34" borderId="10" xfId="0" applyNumberFormat="1" applyFont="1" applyFill="1" applyBorder="1" applyAlignment="1">
      <alignment horizontal="left" vertical="top" wrapText="1"/>
    </xf>
    <xf numFmtId="0" fontId="3" fillId="34" borderId="10" xfId="0" applyFont="1" applyFill="1" applyBorder="1" applyAlignment="1" applyProtection="1">
      <alignment vertical="top" wrapText="1"/>
      <protection locked="0"/>
    </xf>
    <xf numFmtId="0" fontId="3" fillId="34" borderId="10" xfId="0" applyFont="1" applyFill="1" applyBorder="1" applyAlignment="1">
      <alignment vertical="top" wrapText="1"/>
    </xf>
    <xf numFmtId="49" fontId="4" fillId="34" borderId="10" xfId="58" applyNumberFormat="1" applyFont="1" applyFill="1" applyBorder="1" applyAlignment="1">
      <alignment horizontal="center" vertical="top"/>
      <protection/>
    </xf>
    <xf numFmtId="49" fontId="4" fillId="34" borderId="10" xfId="0" applyNumberFormat="1" applyFont="1" applyFill="1" applyBorder="1" applyAlignment="1" applyProtection="1">
      <alignment horizontal="center" vertical="center"/>
      <protection locked="0"/>
    </xf>
    <xf numFmtId="0" fontId="3" fillId="34" borderId="10" xfId="58" applyNumberFormat="1" applyFont="1" applyFill="1" applyBorder="1" applyAlignment="1">
      <alignment horizontal="left" vertical="center" wrapText="1"/>
      <protection/>
    </xf>
    <xf numFmtId="0" fontId="3" fillId="34" borderId="10" xfId="0" applyFont="1" applyFill="1" applyBorder="1" applyAlignment="1" applyProtection="1">
      <alignment vertical="top"/>
      <protection locked="0"/>
    </xf>
    <xf numFmtId="0" fontId="3" fillId="34" borderId="10" xfId="58" applyNumberFormat="1" applyFont="1" applyFill="1" applyBorder="1" applyAlignment="1">
      <alignment horizontal="left" vertical="top" wrapText="1"/>
      <protection/>
    </xf>
    <xf numFmtId="0" fontId="3" fillId="34" borderId="10" xfId="0" applyFont="1" applyFill="1" applyBorder="1" applyAlignment="1">
      <alignment horizontal="center" vertical="top"/>
    </xf>
    <xf numFmtId="49" fontId="3" fillId="34" borderId="10" xfId="0" applyNumberFormat="1" applyFont="1" applyFill="1" applyBorder="1" applyAlignment="1">
      <alignment horizontal="center" vertical="center"/>
    </xf>
    <xf numFmtId="49" fontId="4" fillId="34" borderId="10" xfId="0" applyNumberFormat="1" applyFont="1" applyFill="1" applyBorder="1" applyAlignment="1" applyProtection="1">
      <alignment horizontal="center" vertical="top"/>
      <protection locked="0"/>
    </xf>
    <xf numFmtId="0" fontId="34" fillId="34" borderId="10" xfId="0" applyFont="1" applyFill="1" applyBorder="1" applyAlignment="1">
      <alignment/>
    </xf>
    <xf numFmtId="0" fontId="3" fillId="34" borderId="10" xfId="0" applyNumberFormat="1" applyFont="1" applyFill="1" applyBorder="1" applyAlignment="1">
      <alignment horizontal="left" vertical="center" wrapText="1"/>
    </xf>
    <xf numFmtId="49" fontId="4" fillId="34" borderId="10" xfId="58" applyNumberFormat="1" applyFont="1" applyFill="1" applyBorder="1" applyAlignment="1">
      <alignment horizontal="center" vertical="center"/>
      <protection/>
    </xf>
    <xf numFmtId="0" fontId="3" fillId="34" borderId="14" xfId="0" applyNumberFormat="1" applyFont="1" applyFill="1" applyBorder="1" applyAlignment="1">
      <alignment horizontal="left" vertical="top" wrapText="1"/>
    </xf>
    <xf numFmtId="0" fontId="34" fillId="34" borderId="0" xfId="0" applyFont="1" applyFill="1" applyAlignment="1">
      <alignment vertical="top"/>
    </xf>
    <xf numFmtId="49" fontId="3" fillId="34" borderId="10" xfId="0" applyNumberFormat="1" applyFont="1" applyFill="1" applyBorder="1" applyAlignment="1" applyProtection="1">
      <alignment horizontal="left" vertical="top" wrapText="1"/>
      <protection/>
    </xf>
    <xf numFmtId="0" fontId="3" fillId="34" borderId="15" xfId="0" applyFont="1" applyFill="1" applyBorder="1" applyAlignment="1">
      <alignment horizontal="center" vertical="top"/>
    </xf>
    <xf numFmtId="49" fontId="3" fillId="34" borderId="13" xfId="0" applyNumberFormat="1" applyFont="1" applyFill="1" applyBorder="1" applyAlignment="1">
      <alignment horizontal="center" vertical="top"/>
    </xf>
    <xf numFmtId="0" fontId="3" fillId="34" borderId="0" xfId="0" applyFont="1" applyFill="1" applyAlignment="1">
      <alignment horizontal="center" vertical="top"/>
    </xf>
    <xf numFmtId="0" fontId="34" fillId="34" borderId="13" xfId="0" applyFont="1" applyFill="1" applyBorder="1" applyAlignment="1">
      <alignment vertical="top"/>
    </xf>
    <xf numFmtId="0" fontId="3" fillId="34" borderId="0" xfId="0" applyFont="1" applyFill="1" applyAlignment="1">
      <alignment vertical="top" wrapText="1"/>
    </xf>
    <xf numFmtId="0" fontId="3" fillId="34" borderId="10" xfId="0" applyFont="1" applyFill="1" applyBorder="1" applyAlignment="1">
      <alignment horizontal="left" vertical="top" wrapText="1"/>
    </xf>
    <xf numFmtId="0" fontId="34" fillId="34" borderId="10" xfId="0" applyFont="1" applyFill="1" applyBorder="1" applyAlignment="1">
      <alignment horizontal="center" vertical="top"/>
    </xf>
    <xf numFmtId="0" fontId="4" fillId="34" borderId="10" xfId="0" applyFont="1" applyFill="1" applyBorder="1" applyAlignment="1">
      <alignment horizontal="center" vertical="top"/>
    </xf>
    <xf numFmtId="0" fontId="3" fillId="34" borderId="10" xfId="0" applyFont="1" applyFill="1" applyBorder="1" applyAlignment="1">
      <alignment horizontal="center" vertical="center"/>
    </xf>
    <xf numFmtId="0" fontId="3" fillId="34" borderId="13" xfId="58" applyNumberFormat="1" applyFont="1" applyFill="1" applyBorder="1" applyAlignment="1">
      <alignment horizontal="left" vertical="top" wrapText="1"/>
      <protection/>
    </xf>
    <xf numFmtId="49" fontId="9" fillId="34" borderId="10" xfId="0" applyNumberFormat="1" applyFont="1" applyFill="1" applyBorder="1" applyAlignment="1" applyProtection="1">
      <alignment horizontal="center" vertical="top"/>
      <protection locked="0"/>
    </xf>
    <xf numFmtId="49" fontId="10" fillId="34" borderId="10" xfId="0" applyNumberFormat="1" applyFont="1" applyFill="1" applyBorder="1" applyAlignment="1" applyProtection="1">
      <alignment horizontal="left" vertical="top" wrapText="1"/>
      <protection locked="0"/>
    </xf>
    <xf numFmtId="0" fontId="9" fillId="34" borderId="10" xfId="0" applyFont="1" applyFill="1" applyBorder="1" applyAlignment="1" applyProtection="1">
      <alignment vertical="top"/>
      <protection locked="0"/>
    </xf>
    <xf numFmtId="172" fontId="3" fillId="34" borderId="0" xfId="0" applyNumberFormat="1" applyFont="1" applyFill="1" applyBorder="1" applyAlignment="1">
      <alignment vertical="top"/>
    </xf>
    <xf numFmtId="0" fontId="64" fillId="0" borderId="0" xfId="0" applyFont="1" applyBorder="1" applyAlignment="1">
      <alignment/>
    </xf>
    <xf numFmtId="172" fontId="64" fillId="0" borderId="0" xfId="0" applyNumberFormat="1" applyFont="1" applyBorder="1" applyAlignment="1">
      <alignment/>
    </xf>
    <xf numFmtId="0" fontId="3" fillId="34" borderId="0" xfId="0" applyFont="1" applyFill="1" applyBorder="1" applyAlignment="1">
      <alignment vertical="top"/>
    </xf>
    <xf numFmtId="172" fontId="4" fillId="34" borderId="0" xfId="0" applyNumberFormat="1" applyFont="1" applyFill="1" applyBorder="1" applyAlignment="1">
      <alignment vertical="top"/>
    </xf>
    <xf numFmtId="0" fontId="67" fillId="34" borderId="10" xfId="0" applyFont="1" applyFill="1" applyBorder="1" applyAlignment="1">
      <alignment horizontal="left" vertical="center" wrapText="1"/>
    </xf>
    <xf numFmtId="0" fontId="63" fillId="0" borderId="10" xfId="0" applyFont="1" applyBorder="1" applyAlignment="1">
      <alignment horizontal="center" vertical="center" wrapText="1"/>
    </xf>
    <xf numFmtId="49" fontId="3" fillId="0" borderId="10" xfId="0" applyNumberFormat="1" applyFont="1" applyBorder="1" applyAlignment="1" applyProtection="1">
      <alignment horizontal="left" vertical="center" wrapText="1"/>
      <protection/>
    </xf>
    <xf numFmtId="49" fontId="10" fillId="0" borderId="10" xfId="0" applyNumberFormat="1" applyFont="1" applyBorder="1" applyAlignment="1" applyProtection="1">
      <alignment horizontal="left" vertical="center" wrapText="1"/>
      <protection/>
    </xf>
    <xf numFmtId="0" fontId="3" fillId="0" borderId="0" xfId="54" applyFont="1" applyAlignment="1">
      <alignment horizontal="left"/>
      <protection/>
    </xf>
    <xf numFmtId="0" fontId="63" fillId="0" borderId="10" xfId="0" applyFont="1" applyBorder="1" applyAlignment="1">
      <alignment horizontal="center"/>
    </xf>
    <xf numFmtId="49" fontId="0" fillId="0" borderId="0" xfId="0" applyNumberFormat="1" applyAlignment="1">
      <alignment/>
    </xf>
    <xf numFmtId="49" fontId="63" fillId="0" borderId="10" xfId="0" applyNumberFormat="1" applyFont="1" applyBorder="1" applyAlignment="1">
      <alignment horizontal="center"/>
    </xf>
    <xf numFmtId="49" fontId="3" fillId="0" borderId="16" xfId="0" applyNumberFormat="1" applyFont="1" applyBorder="1" applyAlignment="1">
      <alignment horizontal="center" wrapText="1"/>
    </xf>
    <xf numFmtId="49" fontId="3" fillId="0" borderId="10" xfId="0" applyNumberFormat="1" applyFont="1" applyBorder="1" applyAlignment="1">
      <alignment horizontal="left" wrapText="1"/>
    </xf>
    <xf numFmtId="175" fontId="3" fillId="0" borderId="10" xfId="0" applyNumberFormat="1" applyFont="1" applyFill="1" applyBorder="1" applyAlignment="1">
      <alignment horizontal="center" wrapText="1"/>
    </xf>
    <xf numFmtId="49" fontId="68" fillId="0" borderId="10" xfId="0" applyNumberFormat="1" applyFont="1" applyBorder="1" applyAlignment="1">
      <alignment horizontal="center"/>
    </xf>
    <xf numFmtId="49" fontId="10" fillId="0" borderId="16" xfId="0" applyNumberFormat="1" applyFont="1" applyBorder="1" applyAlignment="1">
      <alignment horizontal="center" wrapText="1"/>
    </xf>
    <xf numFmtId="49" fontId="10" fillId="0" borderId="10" xfId="0" applyNumberFormat="1" applyFont="1" applyBorder="1" applyAlignment="1">
      <alignment horizontal="left" wrapText="1"/>
    </xf>
    <xf numFmtId="175" fontId="10" fillId="0" borderId="10" xfId="0" applyNumberFormat="1" applyFont="1" applyFill="1" applyBorder="1" applyAlignment="1">
      <alignment horizontal="center" wrapText="1"/>
    </xf>
    <xf numFmtId="0" fontId="53" fillId="0" borderId="0" xfId="0" applyFont="1" applyAlignment="1">
      <alignment/>
    </xf>
    <xf numFmtId="175" fontId="3" fillId="0" borderId="10" xfId="66" applyNumberFormat="1" applyFont="1" applyFill="1" applyBorder="1" applyAlignment="1">
      <alignment horizontal="center" wrapText="1"/>
    </xf>
    <xf numFmtId="175" fontId="10" fillId="0" borderId="10" xfId="66" applyNumberFormat="1" applyFont="1" applyFill="1" applyBorder="1" applyAlignment="1">
      <alignment horizontal="center" wrapText="1"/>
    </xf>
    <xf numFmtId="175" fontId="3" fillId="0" borderId="10" xfId="66" applyNumberFormat="1" applyFont="1" applyFill="1" applyBorder="1" applyAlignment="1">
      <alignment horizontal="center"/>
    </xf>
    <xf numFmtId="175" fontId="10" fillId="0" borderId="10" xfId="66" applyNumberFormat="1" applyFont="1" applyFill="1" applyBorder="1" applyAlignment="1">
      <alignment horizontal="center"/>
    </xf>
    <xf numFmtId="0" fontId="10" fillId="0" borderId="16" xfId="0" applyFont="1" applyBorder="1" applyAlignment="1">
      <alignment horizontal="center"/>
    </xf>
    <xf numFmtId="0" fontId="10" fillId="0" borderId="10" xfId="0" applyFont="1" applyBorder="1" applyAlignment="1">
      <alignment wrapText="1"/>
    </xf>
    <xf numFmtId="0" fontId="10" fillId="0" borderId="10" xfId="0" applyNumberFormat="1" applyFont="1" applyBorder="1" applyAlignment="1">
      <alignment horizontal="left" wrapText="1"/>
    </xf>
    <xf numFmtId="175" fontId="3" fillId="0" borderId="10" xfId="0" applyNumberFormat="1" applyFont="1" applyFill="1" applyBorder="1" applyAlignment="1" applyProtection="1">
      <alignment horizontal="center" wrapText="1"/>
      <protection/>
    </xf>
    <xf numFmtId="0" fontId="66" fillId="0" borderId="17" xfId="33" applyNumberFormat="1" applyFont="1" applyFill="1" applyBorder="1" applyAlignment="1">
      <alignment horizontal="center" wrapText="1"/>
      <protection/>
    </xf>
    <xf numFmtId="175" fontId="10" fillId="0" borderId="13" xfId="66" applyNumberFormat="1" applyFont="1" applyFill="1" applyBorder="1" applyAlignment="1">
      <alignment horizontal="center" wrapText="1"/>
    </xf>
    <xf numFmtId="0" fontId="66" fillId="0" borderId="18" xfId="33" applyNumberFormat="1" applyFont="1" applyFill="1" applyBorder="1" applyAlignment="1">
      <alignment horizontal="center" wrapText="1"/>
      <protection/>
    </xf>
    <xf numFmtId="175" fontId="10" fillId="0" borderId="14" xfId="66" applyNumberFormat="1" applyFont="1" applyFill="1" applyBorder="1" applyAlignment="1">
      <alignment horizontal="center" wrapText="1"/>
    </xf>
    <xf numFmtId="175" fontId="3" fillId="0" borderId="10" xfId="0" applyNumberFormat="1" applyFont="1" applyBorder="1" applyAlignment="1" applyProtection="1">
      <alignment horizontal="center" wrapText="1"/>
      <protection/>
    </xf>
    <xf numFmtId="0" fontId="66" fillId="0" borderId="19" xfId="33" applyNumberFormat="1" applyFont="1" applyFill="1" applyBorder="1" applyAlignment="1">
      <alignment horizontal="center" wrapText="1"/>
      <protection/>
    </xf>
    <xf numFmtId="175" fontId="10" fillId="0" borderId="20" xfId="66" applyNumberFormat="1" applyFont="1" applyFill="1" applyBorder="1" applyAlignment="1">
      <alignment horizontal="center" wrapText="1"/>
    </xf>
    <xf numFmtId="49" fontId="3" fillId="0" borderId="1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wrapText="1"/>
      <protection/>
    </xf>
    <xf numFmtId="49" fontId="10" fillId="0" borderId="16" xfId="0" applyNumberFormat="1" applyFont="1" applyBorder="1" applyAlignment="1">
      <alignment horizontal="left" wrapText="1"/>
    </xf>
    <xf numFmtId="176" fontId="3" fillId="0" borderId="21" xfId="0" applyNumberFormat="1" applyFont="1" applyBorder="1" applyAlignment="1" applyProtection="1">
      <alignment horizontal="left" wrapText="1"/>
      <protection/>
    </xf>
    <xf numFmtId="176" fontId="10" fillId="0" borderId="10" xfId="0" applyNumberFormat="1" applyFont="1" applyBorder="1" applyAlignment="1">
      <alignment horizontal="left" wrapText="1"/>
    </xf>
    <xf numFmtId="176" fontId="3" fillId="0" borderId="10" xfId="0" applyNumberFormat="1" applyFont="1" applyFill="1" applyBorder="1" applyAlignment="1">
      <alignment horizontal="left" wrapText="1"/>
    </xf>
    <xf numFmtId="176" fontId="3" fillId="0" borderId="10" xfId="0" applyNumberFormat="1" applyFont="1" applyBorder="1" applyAlignment="1" applyProtection="1">
      <alignment horizontal="left" wrapText="1"/>
      <protection/>
    </xf>
    <xf numFmtId="49" fontId="3" fillId="0" borderId="10" xfId="0" applyNumberFormat="1" applyFont="1" applyBorder="1" applyAlignment="1" applyProtection="1">
      <alignment horizontal="left" wrapText="1"/>
      <protection/>
    </xf>
    <xf numFmtId="0" fontId="10" fillId="0" borderId="10" xfId="0" applyFont="1" applyBorder="1" applyAlignment="1">
      <alignment horizontal="left" wrapText="1"/>
    </xf>
    <xf numFmtId="0" fontId="66" fillId="0" borderId="22" xfId="33" applyNumberFormat="1" applyFont="1" applyFill="1" applyBorder="1" applyAlignment="1">
      <alignment horizontal="left" wrapText="1"/>
      <protection/>
    </xf>
    <xf numFmtId="0" fontId="66" fillId="0" borderId="23" xfId="33" applyNumberFormat="1" applyFont="1" applyFill="1" applyBorder="1" applyAlignment="1">
      <alignment horizontal="left" wrapText="1"/>
      <protection/>
    </xf>
    <xf numFmtId="0" fontId="66" fillId="0" borderId="24" xfId="33" applyNumberFormat="1" applyFont="1" applyFill="1" applyBorder="1" applyAlignment="1">
      <alignment horizontal="left" wrapText="1"/>
      <protection/>
    </xf>
    <xf numFmtId="49" fontId="3" fillId="0" borderId="21" xfId="0" applyNumberFormat="1" applyFont="1" applyBorder="1" applyAlignment="1" applyProtection="1">
      <alignment horizontal="left" wrapText="1"/>
      <protection/>
    </xf>
    <xf numFmtId="49" fontId="10" fillId="0" borderId="10" xfId="0" applyNumberFormat="1" applyFont="1" applyFill="1" applyBorder="1" applyAlignment="1">
      <alignment horizontal="left" wrapText="1"/>
    </xf>
    <xf numFmtId="0" fontId="66" fillId="0" borderId="25" xfId="33" applyNumberFormat="1" applyFont="1" applyFill="1" applyBorder="1" applyAlignment="1">
      <alignment horizontal="left" wrapText="1"/>
      <protection/>
    </xf>
    <xf numFmtId="175" fontId="10" fillId="0" borderId="20" xfId="66" applyNumberFormat="1" applyFont="1" applyFill="1" applyBorder="1" applyAlignment="1">
      <alignment horizontal="center"/>
    </xf>
    <xf numFmtId="175" fontId="10" fillId="0" borderId="10" xfId="0" applyNumberFormat="1" applyFont="1" applyBorder="1" applyAlignment="1" applyProtection="1">
      <alignment horizontal="center" wrapText="1"/>
      <protection/>
    </xf>
    <xf numFmtId="49" fontId="10" fillId="0" borderId="0" xfId="0" applyNumberFormat="1" applyFont="1" applyBorder="1" applyAlignment="1" applyProtection="1">
      <alignment horizontal="left" vertical="center" wrapText="1"/>
      <protection/>
    </xf>
    <xf numFmtId="49" fontId="10" fillId="0" borderId="10" xfId="0" applyNumberFormat="1" applyFont="1" applyBorder="1" applyAlignment="1" applyProtection="1">
      <alignment horizontal="center" wrapText="1"/>
      <protection/>
    </xf>
    <xf numFmtId="0" fontId="66" fillId="0" borderId="10" xfId="33" applyNumberFormat="1" applyFont="1" applyFill="1" applyBorder="1" applyAlignment="1">
      <alignment horizontal="center" wrapText="1"/>
      <protection/>
    </xf>
    <xf numFmtId="0" fontId="66" fillId="0" borderId="10" xfId="33" applyNumberFormat="1" applyFont="1" applyFill="1" applyBorder="1" applyAlignment="1">
      <alignment horizontal="left" wrapText="1"/>
      <protection/>
    </xf>
    <xf numFmtId="0" fontId="63" fillId="0" borderId="0" xfId="0" applyFont="1" applyAlignment="1">
      <alignment/>
    </xf>
    <xf numFmtId="0" fontId="10" fillId="0" borderId="0" xfId="0" applyFont="1" applyAlignment="1">
      <alignment horizontal="center" wrapText="1"/>
    </xf>
    <xf numFmtId="49" fontId="3" fillId="0" borderId="10"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left" wrapText="1"/>
      <protection/>
    </xf>
    <xf numFmtId="176" fontId="3" fillId="0" borderId="10" xfId="0" applyNumberFormat="1" applyFont="1" applyFill="1" applyBorder="1" applyAlignment="1" applyProtection="1">
      <alignment horizontal="left" vertical="center" wrapText="1"/>
      <protection/>
    </xf>
    <xf numFmtId="0" fontId="3" fillId="0" borderId="0" xfId="0" applyFont="1" applyFill="1" applyAlignment="1">
      <alignment/>
    </xf>
    <xf numFmtId="175" fontId="10" fillId="0" borderId="10" xfId="0" applyNumberFormat="1" applyFont="1" applyBorder="1" applyAlignment="1">
      <alignment horizontal="right" wrapText="1"/>
    </xf>
    <xf numFmtId="175" fontId="10" fillId="0" borderId="10" xfId="0" applyNumberFormat="1" applyFont="1" applyFill="1" applyBorder="1" applyAlignment="1">
      <alignment horizontal="right" wrapText="1"/>
    </xf>
    <xf numFmtId="175" fontId="3" fillId="0" borderId="10" xfId="0" applyNumberFormat="1" applyFont="1" applyBorder="1" applyAlignment="1">
      <alignment horizontal="right" wrapText="1"/>
    </xf>
    <xf numFmtId="175" fontId="3" fillId="0" borderId="10" xfId="0" applyNumberFormat="1" applyFont="1" applyFill="1" applyBorder="1" applyAlignment="1">
      <alignment horizontal="right" wrapText="1"/>
    </xf>
    <xf numFmtId="175" fontId="3" fillId="34" borderId="10" xfId="0" applyNumberFormat="1" applyFont="1" applyFill="1" applyBorder="1" applyAlignment="1">
      <alignment horizontal="right" wrapText="1"/>
    </xf>
    <xf numFmtId="175" fontId="10" fillId="34" borderId="10" xfId="0" applyNumberFormat="1" applyFont="1" applyFill="1" applyBorder="1" applyAlignment="1">
      <alignment horizontal="right" wrapText="1"/>
    </xf>
    <xf numFmtId="175" fontId="10" fillId="0" borderId="10" xfId="0" applyNumberFormat="1" applyFont="1" applyBorder="1" applyAlignment="1">
      <alignment horizontal="right"/>
    </xf>
    <xf numFmtId="0" fontId="3" fillId="0" borderId="0" xfId="0" applyFont="1" applyAlignment="1">
      <alignment vertical="top"/>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49" fontId="9" fillId="0" borderId="10" xfId="0" applyNumberFormat="1" applyFont="1" applyFill="1" applyBorder="1" applyAlignment="1">
      <alignment horizontal="center" wrapText="1"/>
    </xf>
    <xf numFmtId="49" fontId="10" fillId="0" borderId="10" xfId="0" applyNumberFormat="1" applyFont="1" applyBorder="1" applyAlignment="1">
      <alignment horizontal="center" wrapText="1"/>
    </xf>
    <xf numFmtId="49" fontId="3" fillId="0" borderId="10" xfId="0" applyNumberFormat="1" applyFont="1" applyBorder="1" applyAlignment="1">
      <alignment horizontal="center" wrapText="1"/>
    </xf>
    <xf numFmtId="0" fontId="3" fillId="0" borderId="0" xfId="0" applyFont="1" applyFill="1" applyAlignment="1">
      <alignment/>
    </xf>
    <xf numFmtId="0" fontId="0" fillId="0" borderId="0" xfId="0" applyAlignment="1">
      <alignment/>
    </xf>
    <xf numFmtId="175" fontId="9" fillId="0" borderId="10" xfId="0" applyNumberFormat="1" applyFont="1" applyBorder="1" applyAlignment="1" applyProtection="1">
      <alignment horizontal="center" wrapText="1"/>
      <protection/>
    </xf>
    <xf numFmtId="172" fontId="69" fillId="0" borderId="10" xfId="0" applyNumberFormat="1" applyFont="1" applyBorder="1" applyAlignment="1">
      <alignment horizontal="center"/>
    </xf>
    <xf numFmtId="172" fontId="63" fillId="0" borderId="10" xfId="0" applyNumberFormat="1" applyFont="1" applyBorder="1" applyAlignment="1">
      <alignment horizontal="center"/>
    </xf>
    <xf numFmtId="172" fontId="3" fillId="34" borderId="10" xfId="0" applyNumberFormat="1" applyFont="1" applyFill="1" applyBorder="1" applyAlignment="1">
      <alignment horizontal="center"/>
    </xf>
    <xf numFmtId="175" fontId="69" fillId="0" borderId="10" xfId="0" applyNumberFormat="1" applyFont="1" applyBorder="1" applyAlignment="1">
      <alignment horizontal="center"/>
    </xf>
    <xf numFmtId="49" fontId="10" fillId="0" borderId="10" xfId="0" applyNumberFormat="1" applyFont="1" applyBorder="1" applyAlignment="1" applyProtection="1">
      <alignment wrapText="1"/>
      <protection/>
    </xf>
    <xf numFmtId="49" fontId="3" fillId="0" borderId="10" xfId="0" applyNumberFormat="1" applyFont="1" applyBorder="1" applyAlignment="1" applyProtection="1">
      <alignment wrapText="1"/>
      <protection/>
    </xf>
    <xf numFmtId="49" fontId="3" fillId="0" borderId="10" xfId="0" applyNumberFormat="1" applyFont="1" applyFill="1" applyBorder="1" applyAlignment="1">
      <alignment horizontal="center" vertical="top"/>
    </xf>
    <xf numFmtId="0" fontId="34" fillId="0" borderId="10" xfId="0" applyFont="1" applyFill="1" applyBorder="1" applyAlignment="1">
      <alignment vertical="top"/>
    </xf>
    <xf numFmtId="0" fontId="3" fillId="0" borderId="10" xfId="0" applyFont="1" applyFill="1" applyBorder="1" applyAlignment="1" applyProtection="1">
      <alignment vertical="top"/>
      <protection locked="0"/>
    </xf>
    <xf numFmtId="172" fontId="4" fillId="0" borderId="13" xfId="0" applyNumberFormat="1" applyFont="1" applyFill="1" applyBorder="1" applyAlignment="1">
      <alignment vertical="top"/>
    </xf>
    <xf numFmtId="0" fontId="3" fillId="0" borderId="0" xfId="54" applyFont="1" applyAlignment="1">
      <alignment/>
      <protection/>
    </xf>
    <xf numFmtId="0" fontId="70" fillId="34" borderId="0" xfId="0" applyFont="1" applyFill="1" applyAlignment="1">
      <alignment/>
    </xf>
    <xf numFmtId="0" fontId="63" fillId="34" borderId="0" xfId="0" applyFont="1" applyFill="1" applyAlignment="1">
      <alignment/>
    </xf>
    <xf numFmtId="172" fontId="64" fillId="34" borderId="0" xfId="0" applyNumberFormat="1" applyFont="1" applyFill="1" applyAlignment="1">
      <alignment/>
    </xf>
    <xf numFmtId="0" fontId="71" fillId="34" borderId="0" xfId="0" applyFont="1" applyFill="1" applyAlignment="1">
      <alignment/>
    </xf>
    <xf numFmtId="172" fontId="72" fillId="34" borderId="0" xfId="0" applyNumberFormat="1" applyFont="1" applyFill="1" applyAlignment="1">
      <alignment/>
    </xf>
    <xf numFmtId="175" fontId="0" fillId="0" borderId="0" xfId="0" applyNumberFormat="1" applyAlignment="1">
      <alignment/>
    </xf>
    <xf numFmtId="172" fontId="63" fillId="0" borderId="0" xfId="0" applyNumberFormat="1" applyFont="1" applyFill="1" applyBorder="1" applyAlignment="1">
      <alignment horizontal="center"/>
    </xf>
    <xf numFmtId="0" fontId="10" fillId="0" borderId="10" xfId="0" applyFont="1" applyBorder="1" applyAlignment="1">
      <alignment horizontal="center" wrapText="1"/>
    </xf>
    <xf numFmtId="49" fontId="68" fillId="0" borderId="10" xfId="0" applyNumberFormat="1" applyFont="1" applyBorder="1" applyAlignment="1">
      <alignment horizontal="center" wrapText="1"/>
    </xf>
    <xf numFmtId="0" fontId="73" fillId="0" borderId="10" xfId="0" applyFont="1" applyBorder="1" applyAlignment="1">
      <alignment wrapText="1"/>
    </xf>
    <xf numFmtId="0" fontId="71" fillId="0" borderId="26" xfId="0" applyFont="1" applyBorder="1" applyAlignment="1">
      <alignment horizontal="center" vertical="center" wrapText="1"/>
    </xf>
    <xf numFmtId="0" fontId="69" fillId="0" borderId="27" xfId="0" applyFont="1" applyBorder="1" applyAlignment="1">
      <alignment wrapText="1"/>
    </xf>
    <xf numFmtId="0" fontId="69" fillId="0" borderId="10" xfId="0" applyFont="1" applyBorder="1" applyAlignment="1">
      <alignment wrapText="1"/>
    </xf>
    <xf numFmtId="0" fontId="6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63" fillId="0" borderId="27" xfId="0" applyFont="1" applyBorder="1" applyAlignment="1">
      <alignment horizontal="center" vertical="center" wrapText="1"/>
    </xf>
    <xf numFmtId="0" fontId="68" fillId="0" borderId="10" xfId="0" applyFont="1" applyBorder="1" applyAlignment="1">
      <alignment horizontal="center" vertical="center" wrapText="1"/>
    </xf>
    <xf numFmtId="0" fontId="71" fillId="0" borderId="0" xfId="0" applyFont="1" applyBorder="1" applyAlignment="1">
      <alignment horizontal="center" vertical="center" wrapText="1"/>
    </xf>
    <xf numFmtId="173" fontId="68" fillId="34" borderId="10" xfId="66" applyNumberFormat="1" applyFont="1" applyFill="1" applyBorder="1" applyAlignment="1">
      <alignment/>
    </xf>
    <xf numFmtId="0" fontId="7" fillId="34" borderId="10" xfId="0" applyFont="1" applyFill="1" applyBorder="1" applyAlignment="1">
      <alignment vertical="top" wrapText="1"/>
    </xf>
    <xf numFmtId="175" fontId="8" fillId="34" borderId="10" xfId="0" applyNumberFormat="1" applyFont="1" applyFill="1" applyBorder="1" applyAlignment="1">
      <alignment vertical="top"/>
    </xf>
    <xf numFmtId="175" fontId="64" fillId="34" borderId="10" xfId="0" applyNumberFormat="1" applyFont="1" applyFill="1" applyBorder="1" applyAlignment="1">
      <alignment vertical="top"/>
    </xf>
    <xf numFmtId="175" fontId="64" fillId="0" borderId="10" xfId="0" applyNumberFormat="1" applyFont="1" applyBorder="1" applyAlignment="1">
      <alignment vertical="top"/>
    </xf>
    <xf numFmtId="175" fontId="12" fillId="34" borderId="10" xfId="0" applyNumberFormat="1" applyFont="1" applyFill="1" applyBorder="1" applyAlignment="1">
      <alignment vertical="top"/>
    </xf>
    <xf numFmtId="175" fontId="72" fillId="0" borderId="10" xfId="0" applyNumberFormat="1" applyFont="1" applyBorder="1" applyAlignment="1">
      <alignment vertical="top"/>
    </xf>
    <xf numFmtId="175" fontId="7" fillId="34" borderId="10" xfId="0" applyNumberFormat="1" applyFont="1" applyFill="1" applyBorder="1" applyAlignment="1">
      <alignment vertical="top"/>
    </xf>
    <xf numFmtId="175" fontId="71" fillId="0" borderId="10" xfId="0" applyNumberFormat="1" applyFont="1" applyBorder="1" applyAlignment="1">
      <alignment vertical="top"/>
    </xf>
    <xf numFmtId="175" fontId="3" fillId="34" borderId="10" xfId="0" applyNumberFormat="1" applyFont="1" applyFill="1" applyBorder="1" applyAlignment="1">
      <alignment vertical="top"/>
    </xf>
    <xf numFmtId="175" fontId="9" fillId="34" borderId="10" xfId="0" applyNumberFormat="1" applyFont="1" applyFill="1" applyBorder="1" applyAlignment="1">
      <alignment vertical="top"/>
    </xf>
    <xf numFmtId="175" fontId="3" fillId="34" borderId="13" xfId="0" applyNumberFormat="1" applyFont="1" applyFill="1" applyBorder="1" applyAlignment="1">
      <alignment vertical="top"/>
    </xf>
    <xf numFmtId="175" fontId="4" fillId="34" borderId="10" xfId="0" applyNumberFormat="1" applyFont="1" applyFill="1" applyBorder="1" applyAlignment="1">
      <alignment vertical="top"/>
    </xf>
    <xf numFmtId="175" fontId="3" fillId="0" borderId="10" xfId="0" applyNumberFormat="1" applyFont="1" applyFill="1" applyBorder="1" applyAlignment="1">
      <alignment vertical="top"/>
    </xf>
    <xf numFmtId="175" fontId="63" fillId="34" borderId="10" xfId="0" applyNumberFormat="1" applyFont="1" applyFill="1" applyBorder="1" applyAlignment="1">
      <alignment vertical="top"/>
    </xf>
    <xf numFmtId="175" fontId="9" fillId="34" borderId="10" xfId="0" applyNumberFormat="1" applyFont="1" applyFill="1" applyBorder="1" applyAlignment="1" applyProtection="1">
      <alignment vertical="top" wrapText="1"/>
      <protection locked="0"/>
    </xf>
    <xf numFmtId="0" fontId="73" fillId="0" borderId="10" xfId="0" applyFont="1" applyFill="1" applyBorder="1" applyAlignment="1">
      <alignment horizontal="center" vertical="center" wrapText="1"/>
    </xf>
    <xf numFmtId="175" fontId="9" fillId="0" borderId="10" xfId="0" applyNumberFormat="1" applyFont="1" applyFill="1" applyBorder="1" applyAlignment="1" applyProtection="1">
      <alignment horizontal="center" wrapText="1"/>
      <protection/>
    </xf>
    <xf numFmtId="172" fontId="69" fillId="0" borderId="10" xfId="0" applyNumberFormat="1" applyFont="1" applyFill="1" applyBorder="1" applyAlignment="1">
      <alignment horizontal="center"/>
    </xf>
    <xf numFmtId="0" fontId="4" fillId="0" borderId="10" xfId="0" applyNumberFormat="1" applyFont="1" applyFill="1" applyBorder="1" applyAlignment="1">
      <alignment horizontal="center" wrapText="1"/>
    </xf>
    <xf numFmtId="0" fontId="4"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34" borderId="26" xfId="55" applyFont="1" applyFill="1" applyBorder="1" applyAlignment="1">
      <alignment horizontal="center" vertical="center" wrapText="1"/>
      <protection/>
    </xf>
    <xf numFmtId="0" fontId="74" fillId="0" borderId="0" xfId="0" applyFont="1" applyAlignment="1">
      <alignment horizontal="center" wrapText="1"/>
    </xf>
    <xf numFmtId="0" fontId="75" fillId="0" borderId="0" xfId="0" applyFont="1" applyAlignment="1">
      <alignment wrapText="1"/>
    </xf>
    <xf numFmtId="0" fontId="5" fillId="0" borderId="0" xfId="0" applyFont="1" applyAlignment="1">
      <alignment horizontal="center" wrapText="1"/>
    </xf>
    <xf numFmtId="0" fontId="10" fillId="0" borderId="10" xfId="0" applyFont="1" applyBorder="1" applyAlignment="1">
      <alignment horizontal="center" vertical="center" wrapText="1"/>
    </xf>
    <xf numFmtId="0" fontId="3" fillId="0" borderId="0" xfId="54" applyFont="1" applyAlignment="1">
      <alignment horizontal="left"/>
      <protection/>
    </xf>
    <xf numFmtId="0" fontId="3" fillId="0" borderId="0" xfId="54" applyFont="1" applyAlignment="1">
      <alignment wrapText="1"/>
      <protection/>
    </xf>
    <xf numFmtId="0" fontId="5" fillId="0" borderId="0" xfId="0" applyFont="1" applyFill="1" applyAlignment="1">
      <alignment horizontal="center" vertical="center" wrapText="1"/>
    </xf>
    <xf numFmtId="49" fontId="10" fillId="0" borderId="27" xfId="0" applyNumberFormat="1" applyFont="1" applyBorder="1" applyAlignment="1">
      <alignment horizontal="left" wrapText="1"/>
    </xf>
    <xf numFmtId="49" fontId="10" fillId="0" borderId="28" xfId="0" applyNumberFormat="1" applyFont="1" applyBorder="1" applyAlignment="1">
      <alignment horizontal="left" wrapText="1"/>
    </xf>
    <xf numFmtId="49" fontId="10" fillId="0" borderId="16" xfId="0" applyNumberFormat="1" applyFont="1" applyBorder="1" applyAlignment="1">
      <alignment horizontal="left" wrapText="1"/>
    </xf>
    <xf numFmtId="0" fontId="71" fillId="0" borderId="0" xfId="0" applyFont="1" applyAlignment="1">
      <alignment horizontal="center" vertical="center" wrapText="1"/>
    </xf>
    <xf numFmtId="0" fontId="3" fillId="0" borderId="0" xfId="54" applyFont="1" applyAlignment="1">
      <alignment horizontal="left" wrapText="1"/>
      <protection/>
    </xf>
    <xf numFmtId="0" fontId="71" fillId="0" borderId="0" xfId="0" applyFont="1" applyBorder="1" applyAlignment="1">
      <alignment horizontal="center" vertical="center" wrapText="1"/>
    </xf>
    <xf numFmtId="0" fontId="74" fillId="0" borderId="0" xfId="0" applyFont="1" applyAlignment="1">
      <alignment horizontal="center" wrapText="1"/>
    </xf>
    <xf numFmtId="0" fontId="75" fillId="0" borderId="0" xfId="0" applyFont="1" applyAlignment="1">
      <alignment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6" xfId="0" applyFont="1" applyBorder="1" applyAlignment="1">
      <alignment horizontal="center" wrapText="1"/>
    </xf>
    <xf numFmtId="0" fontId="68" fillId="0" borderId="10" xfId="0" applyFont="1" applyBorder="1" applyAlignment="1">
      <alignment horizontal="center" vertical="center"/>
    </xf>
    <xf numFmtId="49" fontId="68" fillId="0" borderId="10" xfId="0" applyNumberFormat="1" applyFont="1" applyBorder="1" applyAlignment="1">
      <alignment horizontal="center" vertical="center" wrapText="1"/>
    </xf>
    <xf numFmtId="0" fontId="42" fillId="0" borderId="0" xfId="0" applyFont="1" applyAlignment="1">
      <alignment horizontal="center" wrapText="1"/>
    </xf>
    <xf numFmtId="0" fontId="66" fillId="0" borderId="12" xfId="33" applyNumberFormat="1" applyFont="1" applyFill="1" applyBorder="1" applyAlignment="1">
      <alignment horizontal="left" vertical="center" wrapText="1" readingOrder="1"/>
      <protection/>
    </xf>
    <xf numFmtId="0" fontId="66" fillId="0" borderId="11" xfId="33" applyNumberFormat="1" applyFont="1" applyFill="1" applyBorder="1" applyAlignment="1">
      <alignment horizontal="left" vertical="top" wrapText="1" readingOrder="1"/>
      <protection/>
    </xf>
    <xf numFmtId="176" fontId="10" fillId="0" borderId="10" xfId="0" applyNumberFormat="1" applyFont="1" applyBorder="1" applyAlignment="1">
      <alignment horizontal="left" vertical="center" wrapText="1"/>
    </xf>
    <xf numFmtId="0" fontId="10" fillId="0" borderId="10" xfId="0" applyFont="1" applyBorder="1" applyAlignment="1">
      <alignment vertical="top" wrapText="1"/>
    </xf>
    <xf numFmtId="0" fontId="5" fillId="34" borderId="0" xfId="55" applyFont="1" applyFill="1" applyBorder="1" applyAlignment="1">
      <alignment horizontal="center" vertical="center" wrapText="1"/>
      <protection/>
    </xf>
    <xf numFmtId="0" fontId="5" fillId="34" borderId="0" xfId="55" applyFont="1" applyFill="1" applyBorder="1" applyAlignment="1">
      <alignment horizontal="center" vertical="center" wrapText="1"/>
      <protection/>
    </xf>
    <xf numFmtId="0" fontId="10" fillId="0" borderId="13" xfId="0" applyFont="1" applyFill="1" applyBorder="1" applyAlignment="1">
      <alignment horizontal="center" vertical="center" wrapText="1"/>
    </xf>
    <xf numFmtId="0" fontId="43" fillId="34" borderId="10" xfId="0" applyFont="1" applyFill="1" applyBorder="1" applyAlignment="1">
      <alignment vertical="top"/>
    </xf>
    <xf numFmtId="175" fontId="12" fillId="0" borderId="10" xfId="0" applyNumberFormat="1" applyFont="1" applyFill="1" applyBorder="1" applyAlignment="1">
      <alignment vertical="top"/>
    </xf>
    <xf numFmtId="172" fontId="72" fillId="0" borderId="10" xfId="0" applyNumberFormat="1" applyFont="1" applyFill="1" applyBorder="1" applyAlignment="1">
      <alignment vertical="top"/>
    </xf>
    <xf numFmtId="175" fontId="9" fillId="0" borderId="10" xfId="0" applyNumberFormat="1" applyFont="1" applyFill="1" applyBorder="1" applyAlignment="1">
      <alignment vertical="top"/>
    </xf>
    <xf numFmtId="172" fontId="9" fillId="0" borderId="13" xfId="0" applyNumberFormat="1" applyFont="1" applyFill="1" applyBorder="1" applyAlignment="1">
      <alignment vertical="top"/>
    </xf>
    <xf numFmtId="0" fontId="63" fillId="0" borderId="10" xfId="0" applyFont="1" applyFill="1" applyBorder="1" applyAlignment="1">
      <alignment horizontal="center" vertical="center" wrapText="1"/>
    </xf>
    <xf numFmtId="173" fontId="68" fillId="0" borderId="10" xfId="66" applyNumberFormat="1" applyFont="1" applyFill="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4" xfId="55"/>
    <cellStyle name="Обычный 5" xfId="56"/>
    <cellStyle name="Обычный 6" xfId="57"/>
    <cellStyle name="Обычный 9"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142"/>
  <sheetViews>
    <sheetView view="pageLayout" workbookViewId="0" topLeftCell="A133">
      <selection activeCell="D142" sqref="D142"/>
    </sheetView>
  </sheetViews>
  <sheetFormatPr defaultColWidth="9.140625" defaultRowHeight="15"/>
  <cols>
    <col min="1" max="1" width="9.140625" style="107" customWidth="1"/>
    <col min="2" max="2" width="17.140625" style="153" customWidth="1"/>
    <col min="3" max="3" width="57.57421875" style="153" customWidth="1"/>
    <col min="4" max="4" width="11.7109375" style="0" customWidth="1"/>
  </cols>
  <sheetData>
    <row r="1" ht="15">
      <c r="D1" s="105" t="s">
        <v>166</v>
      </c>
    </row>
    <row r="2" ht="15">
      <c r="D2" s="105" t="s">
        <v>801</v>
      </c>
    </row>
    <row r="3" ht="15">
      <c r="D3" s="105" t="s">
        <v>802</v>
      </c>
    </row>
    <row r="4" spans="4:5" ht="15.75" customHeight="1">
      <c r="D4" s="51" t="s">
        <v>1006</v>
      </c>
      <c r="E4" s="51"/>
    </row>
    <row r="5" ht="15">
      <c r="D5" s="30"/>
    </row>
    <row r="6" spans="2:4" ht="35.25" customHeight="1">
      <c r="B6" s="231" t="s">
        <v>803</v>
      </c>
      <c r="C6" s="231"/>
      <c r="D6" s="231"/>
    </row>
    <row r="7" spans="2:4" ht="14.25" customHeight="1">
      <c r="B7" s="9"/>
      <c r="C7" s="9"/>
      <c r="D7" s="9"/>
    </row>
    <row r="8" spans="2:4" ht="15.75">
      <c r="B8" s="154"/>
      <c r="C8" s="154"/>
      <c r="D8" s="249" t="s">
        <v>1016</v>
      </c>
    </row>
    <row r="9" spans="1:4" ht="15.75" customHeight="1">
      <c r="A9" s="247" t="s">
        <v>804</v>
      </c>
      <c r="B9" s="247"/>
      <c r="C9" s="232" t="s">
        <v>808</v>
      </c>
      <c r="D9" s="245" t="s">
        <v>1015</v>
      </c>
    </row>
    <row r="10" spans="1:4" ht="63.75">
      <c r="A10" s="248" t="s">
        <v>805</v>
      </c>
      <c r="B10" s="201" t="s">
        <v>807</v>
      </c>
      <c r="C10" s="232"/>
      <c r="D10" s="245"/>
    </row>
    <row r="11" spans="1:4" ht="15">
      <c r="A11" s="195">
        <v>1</v>
      </c>
      <c r="B11" s="246">
        <v>2</v>
      </c>
      <c r="C11" s="194">
        <v>3</v>
      </c>
      <c r="D11" s="244" t="s">
        <v>806</v>
      </c>
    </row>
    <row r="12" spans="1:4" s="116" customFormat="1" ht="15">
      <c r="A12" s="112" t="s">
        <v>809</v>
      </c>
      <c r="B12" s="113"/>
      <c r="C12" s="114" t="s">
        <v>810</v>
      </c>
      <c r="D12" s="115">
        <f>D13+D14+D15+D16</f>
        <v>7450.9</v>
      </c>
    </row>
    <row r="13" spans="1:4" ht="51.75">
      <c r="A13" s="108" t="s">
        <v>809</v>
      </c>
      <c r="B13" s="109" t="s">
        <v>811</v>
      </c>
      <c r="C13" s="110" t="s">
        <v>812</v>
      </c>
      <c r="D13" s="111">
        <v>42.3</v>
      </c>
    </row>
    <row r="14" spans="1:4" ht="51.75">
      <c r="A14" s="108" t="s">
        <v>809</v>
      </c>
      <c r="B14" s="109" t="s">
        <v>814</v>
      </c>
      <c r="C14" s="37" t="s">
        <v>813</v>
      </c>
      <c r="D14" s="111">
        <v>1486.2</v>
      </c>
    </row>
    <row r="15" spans="1:4" ht="42" customHeight="1">
      <c r="A15" s="108" t="s">
        <v>809</v>
      </c>
      <c r="B15" s="109" t="s">
        <v>816</v>
      </c>
      <c r="C15" s="37" t="s">
        <v>815</v>
      </c>
      <c r="D15" s="111">
        <v>43.7</v>
      </c>
    </row>
    <row r="16" spans="1:4" ht="64.5">
      <c r="A16" s="108" t="s">
        <v>809</v>
      </c>
      <c r="B16" s="109" t="s">
        <v>817</v>
      </c>
      <c r="C16" s="135" t="s">
        <v>818</v>
      </c>
      <c r="D16" s="111">
        <v>5878.7</v>
      </c>
    </row>
    <row r="17" spans="1:4" s="53" customFormat="1" ht="15">
      <c r="A17" s="112" t="s">
        <v>820</v>
      </c>
      <c r="B17" s="109"/>
      <c r="C17" s="136" t="s">
        <v>819</v>
      </c>
      <c r="D17" s="115">
        <f>D18</f>
        <v>1.3</v>
      </c>
    </row>
    <row r="18" spans="1:4" ht="64.5">
      <c r="A18" s="108" t="s">
        <v>820</v>
      </c>
      <c r="B18" s="109" t="s">
        <v>821</v>
      </c>
      <c r="C18" s="18" t="s">
        <v>822</v>
      </c>
      <c r="D18" s="117">
        <v>1.3</v>
      </c>
    </row>
    <row r="19" spans="1:4" s="53" customFormat="1" ht="15">
      <c r="A19" s="112" t="s">
        <v>4</v>
      </c>
      <c r="B19" s="121"/>
      <c r="C19" s="122" t="s">
        <v>823</v>
      </c>
      <c r="D19" s="118">
        <f>D20+D21+D22+D23</f>
        <v>3043.5</v>
      </c>
    </row>
    <row r="20" spans="1:4" ht="51.75">
      <c r="A20" s="108" t="s">
        <v>4</v>
      </c>
      <c r="B20" s="109" t="s">
        <v>824</v>
      </c>
      <c r="C20" s="137" t="s">
        <v>129</v>
      </c>
      <c r="D20" s="117">
        <v>1356.1</v>
      </c>
    </row>
    <row r="21" spans="1:4" ht="64.5">
      <c r="A21" s="108" t="s">
        <v>4</v>
      </c>
      <c r="B21" s="132" t="s">
        <v>825</v>
      </c>
      <c r="C21" s="138" t="s">
        <v>130</v>
      </c>
      <c r="D21" s="117">
        <v>13</v>
      </c>
    </row>
    <row r="22" spans="1:4" ht="51.75">
      <c r="A22" s="108" t="s">
        <v>4</v>
      </c>
      <c r="B22" s="132" t="s">
        <v>826</v>
      </c>
      <c r="C22" s="139" t="s">
        <v>827</v>
      </c>
      <c r="D22" s="117">
        <v>1978.2</v>
      </c>
    </row>
    <row r="23" spans="1:4" ht="51.75">
      <c r="A23" s="108" t="s">
        <v>4</v>
      </c>
      <c r="B23" s="132" t="s">
        <v>828</v>
      </c>
      <c r="C23" s="139" t="s">
        <v>132</v>
      </c>
      <c r="D23" s="117">
        <v>-303.8</v>
      </c>
    </row>
    <row r="24" spans="1:4" s="53" customFormat="1" ht="15">
      <c r="A24" s="112" t="s">
        <v>829</v>
      </c>
      <c r="B24" s="113"/>
      <c r="C24" s="136" t="s">
        <v>830</v>
      </c>
      <c r="D24" s="118">
        <f>SUM(D25:D45)</f>
        <v>116332.30000000005</v>
      </c>
    </row>
    <row r="25" spans="1:4" ht="90">
      <c r="A25" s="108" t="s">
        <v>829</v>
      </c>
      <c r="B25" s="132" t="s">
        <v>831</v>
      </c>
      <c r="C25" s="138" t="s">
        <v>832</v>
      </c>
      <c r="D25" s="117">
        <v>112325.9</v>
      </c>
    </row>
    <row r="26" spans="1:4" ht="64.5">
      <c r="A26" s="108" t="s">
        <v>829</v>
      </c>
      <c r="B26" s="132" t="s">
        <v>833</v>
      </c>
      <c r="C26" s="138" t="s">
        <v>834</v>
      </c>
      <c r="D26" s="117">
        <v>57.1</v>
      </c>
    </row>
    <row r="27" spans="1:4" ht="90">
      <c r="A27" s="108" t="s">
        <v>829</v>
      </c>
      <c r="B27" s="132" t="s">
        <v>835</v>
      </c>
      <c r="C27" s="138" t="s">
        <v>836</v>
      </c>
      <c r="D27" s="117">
        <v>36</v>
      </c>
    </row>
    <row r="28" spans="1:4" ht="64.5">
      <c r="A28" s="108" t="s">
        <v>829</v>
      </c>
      <c r="B28" s="132" t="s">
        <v>837</v>
      </c>
      <c r="C28" s="138" t="s">
        <v>838</v>
      </c>
      <c r="D28" s="117">
        <v>-2.9</v>
      </c>
    </row>
    <row r="29" spans="1:4" ht="115.5">
      <c r="A29" s="108" t="s">
        <v>829</v>
      </c>
      <c r="B29" s="132" t="s">
        <v>839</v>
      </c>
      <c r="C29" s="138" t="s">
        <v>840</v>
      </c>
      <c r="D29" s="117">
        <v>129.1</v>
      </c>
    </row>
    <row r="30" spans="1:4" ht="115.5">
      <c r="A30" s="108" t="s">
        <v>829</v>
      </c>
      <c r="B30" s="132" t="s">
        <v>841</v>
      </c>
      <c r="C30" s="138" t="s">
        <v>842</v>
      </c>
      <c r="D30" s="117">
        <v>4.1</v>
      </c>
    </row>
    <row r="31" spans="1:4" ht="64.5">
      <c r="A31" s="108" t="s">
        <v>829</v>
      </c>
      <c r="B31" s="132" t="s">
        <v>843</v>
      </c>
      <c r="C31" s="139" t="s">
        <v>844</v>
      </c>
      <c r="D31" s="117">
        <v>146.8</v>
      </c>
    </row>
    <row r="32" spans="1:4" ht="51.75">
      <c r="A32" s="108" t="s">
        <v>829</v>
      </c>
      <c r="B32" s="132" t="s">
        <v>845</v>
      </c>
      <c r="C32" s="139" t="s">
        <v>846</v>
      </c>
      <c r="D32" s="117">
        <v>1.5</v>
      </c>
    </row>
    <row r="33" spans="1:4" ht="64.5">
      <c r="A33" s="108" t="s">
        <v>829</v>
      </c>
      <c r="B33" s="132" t="s">
        <v>847</v>
      </c>
      <c r="C33" s="139" t="s">
        <v>848</v>
      </c>
      <c r="D33" s="117">
        <v>16.1</v>
      </c>
    </row>
    <row r="34" spans="1:4" ht="39">
      <c r="A34" s="108" t="s">
        <v>829</v>
      </c>
      <c r="B34" s="132" t="s">
        <v>849</v>
      </c>
      <c r="C34" s="139" t="s">
        <v>850</v>
      </c>
      <c r="D34" s="117">
        <v>0.2</v>
      </c>
    </row>
    <row r="35" spans="1:4" ht="102.75">
      <c r="A35" s="108" t="s">
        <v>829</v>
      </c>
      <c r="B35" s="132" t="s">
        <v>851</v>
      </c>
      <c r="C35" s="138" t="s">
        <v>852</v>
      </c>
      <c r="D35" s="117">
        <v>67.9</v>
      </c>
    </row>
    <row r="36" spans="1:4" ht="51.75">
      <c r="A36" s="108" t="s">
        <v>829</v>
      </c>
      <c r="B36" s="132" t="s">
        <v>853</v>
      </c>
      <c r="C36" s="139" t="s">
        <v>854</v>
      </c>
      <c r="D36" s="117">
        <v>2292.6</v>
      </c>
    </row>
    <row r="37" spans="1:4" ht="26.25">
      <c r="A37" s="108" t="s">
        <v>829</v>
      </c>
      <c r="B37" s="132" t="s">
        <v>855</v>
      </c>
      <c r="C37" s="139" t="s">
        <v>856</v>
      </c>
      <c r="D37" s="117">
        <v>10.6</v>
      </c>
    </row>
    <row r="38" spans="1:4" ht="51.75">
      <c r="A38" s="108" t="s">
        <v>829</v>
      </c>
      <c r="B38" s="132" t="s">
        <v>857</v>
      </c>
      <c r="C38" s="139" t="s">
        <v>858</v>
      </c>
      <c r="D38" s="117">
        <v>24.8</v>
      </c>
    </row>
    <row r="39" spans="1:4" ht="51.75">
      <c r="A39" s="108" t="s">
        <v>829</v>
      </c>
      <c r="B39" s="132" t="s">
        <v>859</v>
      </c>
      <c r="C39" s="139" t="s">
        <v>860</v>
      </c>
      <c r="D39" s="117">
        <v>340.5</v>
      </c>
    </row>
    <row r="40" spans="1:4" ht="39">
      <c r="A40" s="108" t="s">
        <v>829</v>
      </c>
      <c r="B40" s="132" t="s">
        <v>861</v>
      </c>
      <c r="C40" s="139" t="s">
        <v>862</v>
      </c>
      <c r="D40" s="117">
        <v>0.3</v>
      </c>
    </row>
    <row r="41" spans="1:4" ht="64.5">
      <c r="A41" s="108" t="s">
        <v>829</v>
      </c>
      <c r="B41" s="132" t="s">
        <v>863</v>
      </c>
      <c r="C41" s="138" t="s">
        <v>864</v>
      </c>
      <c r="D41" s="117">
        <v>880.3</v>
      </c>
    </row>
    <row r="42" spans="1:4" ht="77.25">
      <c r="A42" s="108" t="s">
        <v>829</v>
      </c>
      <c r="B42" s="132" t="s">
        <v>865</v>
      </c>
      <c r="C42" s="138" t="s">
        <v>866</v>
      </c>
      <c r="D42" s="117">
        <v>0.1</v>
      </c>
    </row>
    <row r="43" spans="1:4" ht="26.25">
      <c r="A43" s="108" t="s">
        <v>829</v>
      </c>
      <c r="B43" s="132" t="s">
        <v>867</v>
      </c>
      <c r="C43" s="139" t="s">
        <v>868</v>
      </c>
      <c r="D43" s="117">
        <v>0.9</v>
      </c>
    </row>
    <row r="44" spans="1:4" ht="26.25">
      <c r="A44" s="108" t="s">
        <v>829</v>
      </c>
      <c r="B44" s="132" t="s">
        <v>869</v>
      </c>
      <c r="C44" s="139" t="s">
        <v>870</v>
      </c>
      <c r="D44" s="117">
        <v>0.3</v>
      </c>
    </row>
    <row r="45" spans="1:4" ht="64.5">
      <c r="A45" s="108" t="s">
        <v>829</v>
      </c>
      <c r="B45" s="132" t="s">
        <v>871</v>
      </c>
      <c r="C45" s="138" t="s">
        <v>872</v>
      </c>
      <c r="D45" s="117">
        <v>0.1</v>
      </c>
    </row>
    <row r="46" spans="1:4" s="53" customFormat="1" ht="15">
      <c r="A46" s="112" t="s">
        <v>873</v>
      </c>
      <c r="B46" s="113"/>
      <c r="C46" s="123" t="s">
        <v>874</v>
      </c>
      <c r="D46" s="118">
        <f>D47+D48+D49+D50</f>
        <v>234.00000000000003</v>
      </c>
    </row>
    <row r="47" spans="1:4" ht="64.5">
      <c r="A47" s="108" t="s">
        <v>873</v>
      </c>
      <c r="B47" s="132" t="s">
        <v>875</v>
      </c>
      <c r="C47" s="138" t="s">
        <v>876</v>
      </c>
      <c r="D47" s="117">
        <v>30</v>
      </c>
    </row>
    <row r="48" spans="1:4" ht="51.75">
      <c r="A48" s="108" t="s">
        <v>873</v>
      </c>
      <c r="B48" s="132" t="s">
        <v>877</v>
      </c>
      <c r="C48" s="139" t="s">
        <v>878</v>
      </c>
      <c r="D48" s="117">
        <v>188.4</v>
      </c>
    </row>
    <row r="49" spans="1:4" ht="89.25">
      <c r="A49" s="108" t="s">
        <v>873</v>
      </c>
      <c r="B49" s="155" t="s">
        <v>880</v>
      </c>
      <c r="C49" s="157" t="s">
        <v>881</v>
      </c>
      <c r="D49" s="117">
        <v>13.3</v>
      </c>
    </row>
    <row r="50" spans="1:4" ht="63.75">
      <c r="A50" s="108" t="s">
        <v>873</v>
      </c>
      <c r="B50" s="155" t="s">
        <v>821</v>
      </c>
      <c r="C50" s="157" t="s">
        <v>822</v>
      </c>
      <c r="D50" s="117">
        <v>2.3</v>
      </c>
    </row>
    <row r="51" spans="1:4" s="53" customFormat="1" ht="26.25">
      <c r="A51" s="112" t="s">
        <v>882</v>
      </c>
      <c r="B51" s="113"/>
      <c r="C51" s="140" t="s">
        <v>883</v>
      </c>
      <c r="D51" s="118">
        <f>D52</f>
        <v>40</v>
      </c>
    </row>
    <row r="52" spans="1:4" ht="51.75">
      <c r="A52" s="108" t="s">
        <v>882</v>
      </c>
      <c r="B52" s="132" t="s">
        <v>884</v>
      </c>
      <c r="C52" s="139" t="s">
        <v>885</v>
      </c>
      <c r="D52" s="117">
        <v>40</v>
      </c>
    </row>
    <row r="53" spans="1:4" s="53" customFormat="1" ht="26.25">
      <c r="A53" s="112" t="s">
        <v>886</v>
      </c>
      <c r="B53" s="113"/>
      <c r="C53" s="114" t="s">
        <v>887</v>
      </c>
      <c r="D53" s="118">
        <f>SUM(D54:D65)</f>
        <v>7333.899999999999</v>
      </c>
    </row>
    <row r="54" spans="1:4" ht="26.25">
      <c r="A54" s="108" t="s">
        <v>886</v>
      </c>
      <c r="B54" s="155" t="s">
        <v>888</v>
      </c>
      <c r="C54" s="156" t="s">
        <v>336</v>
      </c>
      <c r="D54" s="124">
        <v>7.6</v>
      </c>
    </row>
    <row r="55" spans="1:4" ht="26.25">
      <c r="A55" s="108" t="s">
        <v>886</v>
      </c>
      <c r="B55" s="155" t="s">
        <v>889</v>
      </c>
      <c r="C55" s="156" t="s">
        <v>151</v>
      </c>
      <c r="D55" s="124">
        <v>22.1</v>
      </c>
    </row>
    <row r="56" spans="1:4" ht="39">
      <c r="A56" s="108" t="s">
        <v>886</v>
      </c>
      <c r="B56" s="155" t="s">
        <v>890</v>
      </c>
      <c r="C56" s="156" t="s">
        <v>155</v>
      </c>
      <c r="D56" s="124">
        <v>7.1</v>
      </c>
    </row>
    <row r="57" spans="1:4" ht="26.25">
      <c r="A57" s="108" t="s">
        <v>886</v>
      </c>
      <c r="B57" s="155" t="s">
        <v>891</v>
      </c>
      <c r="C57" s="156" t="s">
        <v>892</v>
      </c>
      <c r="D57" s="124">
        <v>-12.4</v>
      </c>
    </row>
    <row r="58" spans="1:4" ht="51.75">
      <c r="A58" s="108" t="s">
        <v>886</v>
      </c>
      <c r="B58" s="155" t="s">
        <v>893</v>
      </c>
      <c r="C58" s="156" t="s">
        <v>716</v>
      </c>
      <c r="D58" s="124">
        <v>641.2</v>
      </c>
    </row>
    <row r="59" spans="1:4" ht="15">
      <c r="A59" s="108" t="s">
        <v>886</v>
      </c>
      <c r="B59" s="155" t="s">
        <v>894</v>
      </c>
      <c r="C59" s="156" t="s">
        <v>159</v>
      </c>
      <c r="D59" s="124">
        <v>4421.9</v>
      </c>
    </row>
    <row r="60" spans="1:4" ht="26.25">
      <c r="A60" s="108" t="s">
        <v>886</v>
      </c>
      <c r="B60" s="155" t="s">
        <v>895</v>
      </c>
      <c r="C60" s="156" t="s">
        <v>163</v>
      </c>
      <c r="D60" s="124">
        <v>532.7</v>
      </c>
    </row>
    <row r="61" spans="1:4" ht="51.75">
      <c r="A61" s="108" t="s">
        <v>886</v>
      </c>
      <c r="B61" s="155" t="s">
        <v>896</v>
      </c>
      <c r="C61" s="156" t="s">
        <v>497</v>
      </c>
      <c r="D61" s="124">
        <v>1012.5</v>
      </c>
    </row>
    <row r="62" spans="1:4" ht="26.25">
      <c r="A62" s="108" t="s">
        <v>886</v>
      </c>
      <c r="B62" s="155" t="s">
        <v>898</v>
      </c>
      <c r="C62" s="156" t="s">
        <v>161</v>
      </c>
      <c r="D62" s="124">
        <v>253</v>
      </c>
    </row>
    <row r="63" spans="1:4" ht="15">
      <c r="A63" s="108" t="s">
        <v>886</v>
      </c>
      <c r="B63" s="155" t="s">
        <v>899</v>
      </c>
      <c r="C63" s="156" t="s">
        <v>507</v>
      </c>
      <c r="D63" s="124">
        <v>11.4</v>
      </c>
    </row>
    <row r="64" spans="1:4" ht="51.75">
      <c r="A64" s="108" t="s">
        <v>886</v>
      </c>
      <c r="B64" s="155" t="s">
        <v>900</v>
      </c>
      <c r="C64" s="156" t="s">
        <v>511</v>
      </c>
      <c r="D64" s="124">
        <v>-229.1</v>
      </c>
    </row>
    <row r="65" spans="1:4" ht="26.25">
      <c r="A65" s="108" t="s">
        <v>886</v>
      </c>
      <c r="B65" s="155" t="s">
        <v>901</v>
      </c>
      <c r="C65" s="156" t="s">
        <v>356</v>
      </c>
      <c r="D65" s="124">
        <v>665.9</v>
      </c>
    </row>
    <row r="66" spans="1:4" s="53" customFormat="1" ht="26.25">
      <c r="A66" s="112" t="s">
        <v>902</v>
      </c>
      <c r="B66" s="125"/>
      <c r="C66" s="141" t="s">
        <v>906</v>
      </c>
      <c r="D66" s="126">
        <f>D67</f>
        <v>0.9</v>
      </c>
    </row>
    <row r="67" spans="1:4" ht="26.25">
      <c r="A67" s="108" t="s">
        <v>902</v>
      </c>
      <c r="B67" s="133" t="s">
        <v>889</v>
      </c>
      <c r="C67" s="144" t="s">
        <v>151</v>
      </c>
      <c r="D67" s="117">
        <v>0.9</v>
      </c>
    </row>
    <row r="68" spans="1:4" s="53" customFormat="1" ht="26.25">
      <c r="A68" s="112" t="s">
        <v>903</v>
      </c>
      <c r="B68" s="127"/>
      <c r="C68" s="142" t="s">
        <v>730</v>
      </c>
      <c r="D68" s="128">
        <f>SUM(D69:D75)</f>
        <v>45442.19999999999</v>
      </c>
    </row>
    <row r="69" spans="1:4" ht="66.75" customHeight="1">
      <c r="A69" s="108" t="s">
        <v>903</v>
      </c>
      <c r="B69" s="132" t="s">
        <v>907</v>
      </c>
      <c r="C69" s="138" t="s">
        <v>426</v>
      </c>
      <c r="D69" s="129">
        <v>40491.1</v>
      </c>
    </row>
    <row r="70" spans="1:4" ht="64.5">
      <c r="A70" s="108" t="s">
        <v>903</v>
      </c>
      <c r="B70" s="132" t="s">
        <v>908</v>
      </c>
      <c r="C70" s="139" t="s">
        <v>378</v>
      </c>
      <c r="D70" s="129">
        <v>10.7</v>
      </c>
    </row>
    <row r="71" spans="1:4" ht="26.25">
      <c r="A71" s="108" t="s">
        <v>903</v>
      </c>
      <c r="B71" s="132" t="s">
        <v>909</v>
      </c>
      <c r="C71" s="139" t="s">
        <v>142</v>
      </c>
      <c r="D71" s="129">
        <v>87.6</v>
      </c>
    </row>
    <row r="72" spans="1:4" ht="90">
      <c r="A72" s="108" t="s">
        <v>903</v>
      </c>
      <c r="B72" s="132" t="s">
        <v>910</v>
      </c>
      <c r="C72" s="138" t="s">
        <v>334</v>
      </c>
      <c r="D72" s="129">
        <v>4442.7</v>
      </c>
    </row>
    <row r="73" spans="1:4" ht="26.25">
      <c r="A73" s="108" t="s">
        <v>903</v>
      </c>
      <c r="B73" s="132" t="s">
        <v>888</v>
      </c>
      <c r="C73" s="139" t="s">
        <v>336</v>
      </c>
      <c r="D73" s="129">
        <v>6</v>
      </c>
    </row>
    <row r="74" spans="1:4" ht="51.75">
      <c r="A74" s="108" t="s">
        <v>903</v>
      </c>
      <c r="B74" s="132" t="s">
        <v>911</v>
      </c>
      <c r="C74" s="139" t="s">
        <v>457</v>
      </c>
      <c r="D74" s="129">
        <v>384.5</v>
      </c>
    </row>
    <row r="75" spans="1:4" ht="64.5">
      <c r="A75" s="108" t="s">
        <v>903</v>
      </c>
      <c r="B75" s="132" t="s">
        <v>912</v>
      </c>
      <c r="C75" s="138" t="s">
        <v>340</v>
      </c>
      <c r="D75" s="129">
        <v>19.6</v>
      </c>
    </row>
    <row r="76" spans="1:4" s="53" customFormat="1" ht="15">
      <c r="A76" s="112" t="s">
        <v>904</v>
      </c>
      <c r="B76" s="130"/>
      <c r="C76" s="143" t="s">
        <v>731</v>
      </c>
      <c r="D76" s="131">
        <f>D77+D78+D79+D80</f>
        <v>69177.4</v>
      </c>
    </row>
    <row r="77" spans="1:4" ht="51.75">
      <c r="A77" s="108" t="s">
        <v>904</v>
      </c>
      <c r="B77" s="132" t="s">
        <v>913</v>
      </c>
      <c r="C77" s="139" t="s">
        <v>380</v>
      </c>
      <c r="D77" s="129">
        <v>0.2</v>
      </c>
    </row>
    <row r="78" spans="1:4" ht="26.25">
      <c r="A78" s="108" t="s">
        <v>904</v>
      </c>
      <c r="B78" s="132" t="s">
        <v>891</v>
      </c>
      <c r="C78" s="139" t="s">
        <v>892</v>
      </c>
      <c r="D78" s="129">
        <v>-12.5</v>
      </c>
    </row>
    <row r="79" spans="1:4" ht="26.25">
      <c r="A79" s="108" t="s">
        <v>904</v>
      </c>
      <c r="B79" s="132" t="s">
        <v>895</v>
      </c>
      <c r="C79" s="139" t="s">
        <v>163</v>
      </c>
      <c r="D79" s="129">
        <v>69104.8</v>
      </c>
    </row>
    <row r="80" spans="1:4" ht="26.25">
      <c r="A80" s="108" t="s">
        <v>904</v>
      </c>
      <c r="B80" s="132" t="s">
        <v>901</v>
      </c>
      <c r="C80" s="139" t="s">
        <v>356</v>
      </c>
      <c r="D80" s="129">
        <v>84.9</v>
      </c>
    </row>
    <row r="81" spans="1:4" s="53" customFormat="1" ht="15">
      <c r="A81" s="112" t="s">
        <v>905</v>
      </c>
      <c r="B81" s="130"/>
      <c r="C81" s="143" t="s">
        <v>732</v>
      </c>
      <c r="D81" s="131">
        <f>D82+D83</f>
        <v>835.4</v>
      </c>
    </row>
    <row r="82" spans="1:4" ht="26.25">
      <c r="A82" s="108" t="s">
        <v>905</v>
      </c>
      <c r="B82" s="132" t="s">
        <v>914</v>
      </c>
      <c r="C82" s="139" t="s">
        <v>712</v>
      </c>
      <c r="D82" s="129">
        <v>764.6</v>
      </c>
    </row>
    <row r="83" spans="1:4" ht="26.25">
      <c r="A83" s="108" t="s">
        <v>905</v>
      </c>
      <c r="B83" s="132" t="s">
        <v>895</v>
      </c>
      <c r="C83" s="139" t="s">
        <v>163</v>
      </c>
      <c r="D83" s="129">
        <v>70.8</v>
      </c>
    </row>
    <row r="84" spans="1:4" s="53" customFormat="1" ht="15">
      <c r="A84" s="112" t="s">
        <v>915</v>
      </c>
      <c r="B84" s="130"/>
      <c r="C84" s="143" t="s">
        <v>734</v>
      </c>
      <c r="D84" s="131">
        <f>D85+D86+D87</f>
        <v>17019.2</v>
      </c>
    </row>
    <row r="85" spans="1:4" ht="26.25">
      <c r="A85" s="108" t="s">
        <v>915</v>
      </c>
      <c r="B85" s="132" t="s">
        <v>889</v>
      </c>
      <c r="C85" s="139" t="s">
        <v>151</v>
      </c>
      <c r="D85" s="129">
        <v>84</v>
      </c>
    </row>
    <row r="86" spans="1:4" ht="26.25">
      <c r="A86" s="108" t="s">
        <v>915</v>
      </c>
      <c r="B86" s="132" t="s">
        <v>916</v>
      </c>
      <c r="C86" s="139" t="s">
        <v>381</v>
      </c>
      <c r="D86" s="129">
        <v>15947.2</v>
      </c>
    </row>
    <row r="87" spans="1:4" ht="26.25">
      <c r="A87" s="108" t="s">
        <v>915</v>
      </c>
      <c r="B87" s="132" t="s">
        <v>917</v>
      </c>
      <c r="C87" s="139" t="s">
        <v>786</v>
      </c>
      <c r="D87" s="129">
        <v>988</v>
      </c>
    </row>
    <row r="88" spans="1:4" s="53" customFormat="1" ht="15">
      <c r="A88" s="112" t="s">
        <v>918</v>
      </c>
      <c r="B88" s="130"/>
      <c r="C88" s="143" t="s">
        <v>919</v>
      </c>
      <c r="D88" s="131">
        <f>SUM(D89:D115)</f>
        <v>129965.40000000001</v>
      </c>
    </row>
    <row r="89" spans="1:4" ht="65.25" customHeight="1">
      <c r="A89" s="108" t="s">
        <v>918</v>
      </c>
      <c r="B89" s="132" t="s">
        <v>907</v>
      </c>
      <c r="C89" s="138" t="s">
        <v>426</v>
      </c>
      <c r="D89" s="129">
        <v>39103.3</v>
      </c>
    </row>
    <row r="90" spans="1:4" ht="64.5">
      <c r="A90" s="108" t="s">
        <v>918</v>
      </c>
      <c r="B90" s="132" t="s">
        <v>908</v>
      </c>
      <c r="C90" s="139" t="s">
        <v>378</v>
      </c>
      <c r="D90" s="129">
        <v>5.4</v>
      </c>
    </row>
    <row r="91" spans="1:4" ht="26.25">
      <c r="A91" s="108" t="s">
        <v>918</v>
      </c>
      <c r="B91" s="132" t="s">
        <v>909</v>
      </c>
      <c r="C91" s="139" t="s">
        <v>142</v>
      </c>
      <c r="D91" s="129">
        <v>137.3</v>
      </c>
    </row>
    <row r="92" spans="1:4" ht="77.25" customHeight="1">
      <c r="A92" s="108" t="s">
        <v>918</v>
      </c>
      <c r="B92" s="132" t="s">
        <v>910</v>
      </c>
      <c r="C92" s="138" t="s">
        <v>334</v>
      </c>
      <c r="D92" s="129">
        <v>3459.6</v>
      </c>
    </row>
    <row r="93" spans="1:4" ht="26.25">
      <c r="A93" s="108" t="s">
        <v>918</v>
      </c>
      <c r="B93" s="132" t="s">
        <v>923</v>
      </c>
      <c r="C93" s="139" t="s">
        <v>148</v>
      </c>
      <c r="D93" s="129">
        <v>8.1</v>
      </c>
    </row>
    <row r="94" spans="1:4" ht="26.25">
      <c r="A94" s="108" t="s">
        <v>918</v>
      </c>
      <c r="B94" s="132" t="s">
        <v>888</v>
      </c>
      <c r="C94" s="139" t="s">
        <v>336</v>
      </c>
      <c r="D94" s="129">
        <v>6.3</v>
      </c>
    </row>
    <row r="95" spans="1:4" ht="26.25">
      <c r="A95" s="108" t="s">
        <v>918</v>
      </c>
      <c r="B95" s="132" t="s">
        <v>889</v>
      </c>
      <c r="C95" s="139" t="s">
        <v>151</v>
      </c>
      <c r="D95" s="129">
        <v>363.4</v>
      </c>
    </row>
    <row r="96" spans="1:4" ht="51.75">
      <c r="A96" s="108" t="s">
        <v>918</v>
      </c>
      <c r="B96" s="132" t="s">
        <v>911</v>
      </c>
      <c r="C96" s="139" t="s">
        <v>457</v>
      </c>
      <c r="D96" s="129">
        <v>2086.8</v>
      </c>
    </row>
    <row r="97" spans="1:4" ht="64.5">
      <c r="A97" s="108" t="s">
        <v>918</v>
      </c>
      <c r="B97" s="132" t="s">
        <v>912</v>
      </c>
      <c r="C97" s="138" t="s">
        <v>340</v>
      </c>
      <c r="D97" s="129">
        <v>89.4</v>
      </c>
    </row>
    <row r="98" spans="1:4" ht="64.5">
      <c r="A98" s="108" t="s">
        <v>918</v>
      </c>
      <c r="B98" s="132" t="s">
        <v>924</v>
      </c>
      <c r="C98" s="139" t="s">
        <v>925</v>
      </c>
      <c r="D98" s="129">
        <v>48.6</v>
      </c>
    </row>
    <row r="99" spans="1:4" ht="39">
      <c r="A99" s="108" t="s">
        <v>918</v>
      </c>
      <c r="B99" s="132" t="s">
        <v>890</v>
      </c>
      <c r="C99" s="139" t="s">
        <v>155</v>
      </c>
      <c r="D99" s="129">
        <v>25</v>
      </c>
    </row>
    <row r="100" spans="1:4" ht="26.25">
      <c r="A100" s="108" t="s">
        <v>918</v>
      </c>
      <c r="B100" s="132" t="s">
        <v>891</v>
      </c>
      <c r="C100" s="139" t="s">
        <v>892</v>
      </c>
      <c r="D100" s="129">
        <v>12.4</v>
      </c>
    </row>
    <row r="101" spans="1:4" ht="64.5">
      <c r="A101" s="108" t="s">
        <v>918</v>
      </c>
      <c r="B101" s="132" t="s">
        <v>926</v>
      </c>
      <c r="C101" s="138" t="s">
        <v>488</v>
      </c>
      <c r="D101" s="129">
        <v>2087</v>
      </c>
    </row>
    <row r="102" spans="1:4" ht="51.75">
      <c r="A102" s="108" t="s">
        <v>918</v>
      </c>
      <c r="B102" s="132" t="s">
        <v>893</v>
      </c>
      <c r="C102" s="139" t="s">
        <v>716</v>
      </c>
      <c r="D102" s="129">
        <v>3759.7</v>
      </c>
    </row>
    <row r="103" spans="1:4" ht="15">
      <c r="A103" s="108" t="s">
        <v>918</v>
      </c>
      <c r="B103" s="132" t="s">
        <v>894</v>
      </c>
      <c r="C103" s="139" t="s">
        <v>159</v>
      </c>
      <c r="D103" s="129">
        <v>71229</v>
      </c>
    </row>
    <row r="104" spans="1:4" ht="26.25">
      <c r="A104" s="108" t="s">
        <v>918</v>
      </c>
      <c r="B104" s="132" t="s">
        <v>895</v>
      </c>
      <c r="C104" s="139" t="s">
        <v>163</v>
      </c>
      <c r="D104" s="129">
        <v>1215.7</v>
      </c>
    </row>
    <row r="105" spans="1:4" ht="51.75">
      <c r="A105" s="108" t="s">
        <v>918</v>
      </c>
      <c r="B105" s="132" t="s">
        <v>896</v>
      </c>
      <c r="C105" s="139" t="s">
        <v>497</v>
      </c>
      <c r="D105" s="129">
        <v>2025.1</v>
      </c>
    </row>
    <row r="106" spans="1:4" ht="51.75">
      <c r="A106" s="108" t="s">
        <v>918</v>
      </c>
      <c r="B106" s="132" t="s">
        <v>927</v>
      </c>
      <c r="C106" s="139" t="s">
        <v>501</v>
      </c>
      <c r="D106" s="129">
        <v>4.7</v>
      </c>
    </row>
    <row r="107" spans="1:4" ht="39">
      <c r="A107" s="108" t="s">
        <v>918</v>
      </c>
      <c r="B107" s="132" t="s">
        <v>897</v>
      </c>
      <c r="C107" s="139" t="s">
        <v>720</v>
      </c>
      <c r="D107" s="129">
        <v>4</v>
      </c>
    </row>
    <row r="108" spans="1:4" ht="26.25">
      <c r="A108" s="108" t="s">
        <v>918</v>
      </c>
      <c r="B108" s="132" t="s">
        <v>898</v>
      </c>
      <c r="C108" s="139" t="s">
        <v>161</v>
      </c>
      <c r="D108" s="129">
        <v>525.4</v>
      </c>
    </row>
    <row r="109" spans="1:4" ht="15">
      <c r="A109" s="108" t="s">
        <v>918</v>
      </c>
      <c r="B109" s="132" t="s">
        <v>899</v>
      </c>
      <c r="C109" s="139" t="s">
        <v>507</v>
      </c>
      <c r="D109" s="129">
        <v>9</v>
      </c>
    </row>
    <row r="110" spans="1:4" ht="51.75">
      <c r="A110" s="108" t="s">
        <v>918</v>
      </c>
      <c r="B110" s="132" t="s">
        <v>900</v>
      </c>
      <c r="C110" s="139" t="s">
        <v>511</v>
      </c>
      <c r="D110" s="129">
        <v>2164.3</v>
      </c>
    </row>
    <row r="111" spans="1:4" ht="26.25">
      <c r="A111" s="108" t="s">
        <v>918</v>
      </c>
      <c r="B111" s="132" t="s">
        <v>901</v>
      </c>
      <c r="C111" s="139" t="s">
        <v>356</v>
      </c>
      <c r="D111" s="129">
        <v>438.8</v>
      </c>
    </row>
    <row r="112" spans="1:4" ht="39">
      <c r="A112" s="108" t="s">
        <v>918</v>
      </c>
      <c r="B112" s="132" t="s">
        <v>928</v>
      </c>
      <c r="C112" s="139" t="s">
        <v>517</v>
      </c>
      <c r="D112" s="129">
        <v>84</v>
      </c>
    </row>
    <row r="113" spans="1:4" ht="26.25">
      <c r="A113" s="108" t="s">
        <v>918</v>
      </c>
      <c r="B113" s="132" t="s">
        <v>929</v>
      </c>
      <c r="C113" s="139" t="s">
        <v>358</v>
      </c>
      <c r="D113" s="129">
        <v>1366.2</v>
      </c>
    </row>
    <row r="114" spans="1:4" ht="51.75">
      <c r="A114" s="108" t="s">
        <v>918</v>
      </c>
      <c r="B114" s="132" t="s">
        <v>930</v>
      </c>
      <c r="C114" s="139" t="s">
        <v>540</v>
      </c>
      <c r="D114" s="129">
        <v>-157</v>
      </c>
    </row>
    <row r="115" spans="1:4" ht="39">
      <c r="A115" s="108" t="s">
        <v>918</v>
      </c>
      <c r="B115" s="132" t="s">
        <v>931</v>
      </c>
      <c r="C115" s="139" t="s">
        <v>542</v>
      </c>
      <c r="D115" s="129">
        <v>-136.1</v>
      </c>
    </row>
    <row r="116" spans="1:4" s="53" customFormat="1" ht="26.25">
      <c r="A116" s="112" t="s">
        <v>920</v>
      </c>
      <c r="B116" s="130"/>
      <c r="C116" s="146" t="s">
        <v>75</v>
      </c>
      <c r="D116" s="147">
        <f>D117+D118+D119</f>
        <v>32719.5</v>
      </c>
    </row>
    <row r="117" spans="1:4" ht="26.25">
      <c r="A117" s="108" t="s">
        <v>920</v>
      </c>
      <c r="B117" s="132" t="s">
        <v>916</v>
      </c>
      <c r="C117" s="139" t="s">
        <v>381</v>
      </c>
      <c r="D117" s="129">
        <v>31894.1</v>
      </c>
    </row>
    <row r="118" spans="1:4" ht="51.75">
      <c r="A118" s="108" t="s">
        <v>920</v>
      </c>
      <c r="B118" s="132" t="s">
        <v>900</v>
      </c>
      <c r="C118" s="139" t="s">
        <v>511</v>
      </c>
      <c r="D118" s="129">
        <v>449.9</v>
      </c>
    </row>
    <row r="119" spans="1:4" ht="39">
      <c r="A119" s="108" t="s">
        <v>920</v>
      </c>
      <c r="B119" s="132" t="s">
        <v>932</v>
      </c>
      <c r="C119" s="139" t="s">
        <v>526</v>
      </c>
      <c r="D119" s="129">
        <v>375.5</v>
      </c>
    </row>
    <row r="120" spans="1:4" s="53" customFormat="1" ht="26.25">
      <c r="A120" s="112" t="s">
        <v>921</v>
      </c>
      <c r="B120" s="130"/>
      <c r="C120" s="146" t="s">
        <v>88</v>
      </c>
      <c r="D120" s="147">
        <f>SUM(D121:D128)</f>
        <v>109059.8</v>
      </c>
    </row>
    <row r="121" spans="1:4" ht="25.5">
      <c r="A121" s="108" t="s">
        <v>921</v>
      </c>
      <c r="B121" s="132" t="s">
        <v>889</v>
      </c>
      <c r="C121" s="103" t="s">
        <v>151</v>
      </c>
      <c r="D121" s="129">
        <v>46.6</v>
      </c>
    </row>
    <row r="122" spans="1:4" ht="51">
      <c r="A122" s="108" t="s">
        <v>921</v>
      </c>
      <c r="B122" s="132" t="s">
        <v>913</v>
      </c>
      <c r="C122" s="103" t="s">
        <v>380</v>
      </c>
      <c r="D122" s="129">
        <v>3.5</v>
      </c>
    </row>
    <row r="123" spans="1:4" ht="25.5">
      <c r="A123" s="108" t="s">
        <v>921</v>
      </c>
      <c r="B123" s="132" t="s">
        <v>891</v>
      </c>
      <c r="C123" s="103" t="s">
        <v>892</v>
      </c>
      <c r="D123" s="129">
        <v>12.5</v>
      </c>
    </row>
    <row r="124" spans="1:4" ht="15">
      <c r="A124" s="108" t="s">
        <v>921</v>
      </c>
      <c r="B124" s="132" t="s">
        <v>894</v>
      </c>
      <c r="C124" s="103" t="s">
        <v>159</v>
      </c>
      <c r="D124" s="129">
        <v>106.2</v>
      </c>
    </row>
    <row r="125" spans="1:4" ht="25.5">
      <c r="A125" s="108" t="s">
        <v>921</v>
      </c>
      <c r="B125" s="132" t="s">
        <v>895</v>
      </c>
      <c r="C125" s="103" t="s">
        <v>163</v>
      </c>
      <c r="D125" s="129">
        <v>109232.7</v>
      </c>
    </row>
    <row r="126" spans="1:4" ht="25.5">
      <c r="A126" s="108" t="s">
        <v>921</v>
      </c>
      <c r="B126" s="132" t="s">
        <v>933</v>
      </c>
      <c r="C126" s="103" t="s">
        <v>532</v>
      </c>
      <c r="D126" s="129">
        <v>217.9</v>
      </c>
    </row>
    <row r="127" spans="1:4" ht="25.5">
      <c r="A127" s="108" t="s">
        <v>921</v>
      </c>
      <c r="B127" s="132" t="s">
        <v>934</v>
      </c>
      <c r="C127" s="103" t="s">
        <v>534</v>
      </c>
      <c r="D127" s="129">
        <v>273.3</v>
      </c>
    </row>
    <row r="128" spans="1:4" ht="38.25">
      <c r="A128" s="108" t="s">
        <v>921</v>
      </c>
      <c r="B128" s="132" t="s">
        <v>931</v>
      </c>
      <c r="C128" s="103" t="s">
        <v>542</v>
      </c>
      <c r="D128" s="129">
        <v>-832.9</v>
      </c>
    </row>
    <row r="129" spans="1:4" s="53" customFormat="1" ht="15">
      <c r="A129" s="112" t="s">
        <v>922</v>
      </c>
      <c r="B129" s="150"/>
      <c r="C129" s="149" t="s">
        <v>935</v>
      </c>
      <c r="D129" s="148">
        <f>D130</f>
        <v>115.1</v>
      </c>
    </row>
    <row r="130" spans="1:4" ht="25.5">
      <c r="A130" s="108" t="s">
        <v>922</v>
      </c>
      <c r="B130" s="132" t="s">
        <v>889</v>
      </c>
      <c r="C130" s="103" t="s">
        <v>151</v>
      </c>
      <c r="D130" s="119">
        <v>115.1</v>
      </c>
    </row>
    <row r="131" spans="1:4" s="53" customFormat="1" ht="26.25">
      <c r="A131" s="112" t="s">
        <v>936</v>
      </c>
      <c r="B131" s="151"/>
      <c r="C131" s="152" t="s">
        <v>937</v>
      </c>
      <c r="D131" s="120">
        <f>D132</f>
        <v>15</v>
      </c>
    </row>
    <row r="132" spans="1:4" ht="25.5">
      <c r="A132" s="108" t="s">
        <v>936</v>
      </c>
      <c r="B132" s="132" t="s">
        <v>938</v>
      </c>
      <c r="C132" s="103" t="s">
        <v>939</v>
      </c>
      <c r="D132" s="119">
        <v>15</v>
      </c>
    </row>
    <row r="133" spans="1:4" s="53" customFormat="1" ht="26.25">
      <c r="A133" s="112" t="s">
        <v>940</v>
      </c>
      <c r="B133" s="151"/>
      <c r="C133" s="152" t="s">
        <v>941</v>
      </c>
      <c r="D133" s="120">
        <f>D134+D135+D136</f>
        <v>488.70000000000005</v>
      </c>
    </row>
    <row r="134" spans="1:4" ht="25.5">
      <c r="A134" s="108" t="s">
        <v>940</v>
      </c>
      <c r="B134" s="132" t="s">
        <v>942</v>
      </c>
      <c r="C134" s="103" t="s">
        <v>943</v>
      </c>
      <c r="D134" s="119">
        <v>77.6</v>
      </c>
    </row>
    <row r="135" spans="1:4" ht="25.5">
      <c r="A135" s="108" t="s">
        <v>940</v>
      </c>
      <c r="B135" s="132" t="s">
        <v>944</v>
      </c>
      <c r="C135" s="103" t="s">
        <v>469</v>
      </c>
      <c r="D135" s="119">
        <v>270.1</v>
      </c>
    </row>
    <row r="136" spans="1:4" ht="51">
      <c r="A136" s="108" t="s">
        <v>940</v>
      </c>
      <c r="B136" s="132" t="s">
        <v>879</v>
      </c>
      <c r="C136" s="103" t="s">
        <v>475</v>
      </c>
      <c r="D136" s="119">
        <v>141</v>
      </c>
    </row>
    <row r="137" spans="1:4" s="53" customFormat="1" ht="15">
      <c r="A137" s="112" t="s">
        <v>945</v>
      </c>
      <c r="B137" s="150"/>
      <c r="C137" s="104" t="s">
        <v>946</v>
      </c>
      <c r="D137" s="120">
        <f>D138</f>
        <v>35</v>
      </c>
    </row>
    <row r="138" spans="1:4" ht="51">
      <c r="A138" s="108" t="s">
        <v>945</v>
      </c>
      <c r="B138" s="132" t="s">
        <v>947</v>
      </c>
      <c r="C138" s="103" t="s">
        <v>793</v>
      </c>
      <c r="D138" s="119">
        <v>35</v>
      </c>
    </row>
    <row r="139" spans="1:4" s="53" customFormat="1" ht="25.5">
      <c r="A139" s="112" t="s">
        <v>948</v>
      </c>
      <c r="B139" s="150"/>
      <c r="C139" s="104" t="s">
        <v>949</v>
      </c>
      <c r="D139" s="120">
        <f>D140+D141</f>
        <v>351</v>
      </c>
    </row>
    <row r="140" spans="1:4" ht="51">
      <c r="A140" s="108" t="s">
        <v>948</v>
      </c>
      <c r="B140" s="132" t="s">
        <v>879</v>
      </c>
      <c r="C140" s="103" t="s">
        <v>475</v>
      </c>
      <c r="D140" s="119">
        <v>10</v>
      </c>
    </row>
    <row r="141" spans="1:4" ht="38.25">
      <c r="A141" s="108" t="s">
        <v>948</v>
      </c>
      <c r="B141" s="132" t="s">
        <v>890</v>
      </c>
      <c r="C141" s="103" t="s">
        <v>155</v>
      </c>
      <c r="D141" s="119">
        <v>341</v>
      </c>
    </row>
    <row r="142" spans="1:4" ht="15">
      <c r="A142" s="108"/>
      <c r="B142" s="134" t="s">
        <v>165</v>
      </c>
      <c r="C142" s="145"/>
      <c r="D142" s="120">
        <f>D139+D12+D19+D24+D46+D51+D53+D66+D68+D76+D81+D84+D88+D116+D120+D129+D131+D133+D137+D17</f>
        <v>539660.5</v>
      </c>
    </row>
  </sheetData>
  <sheetProtection/>
  <mergeCells count="4">
    <mergeCell ref="B6:D6"/>
    <mergeCell ref="A9:B9"/>
    <mergeCell ref="C9:C10"/>
    <mergeCell ref="D9:D10"/>
  </mergeCells>
  <printOptions/>
  <pageMargins left="1.1811023622047245" right="0.3937007874015748" top="0.7874015748031497" bottom="0.7874015748031497" header="0.31496062992125984" footer="0.31496062992125984"/>
  <pageSetup fitToHeight="0" fitToWidth="1" horizontalDpi="600" verticalDpi="600" orientation="portrait" paperSize="9" scale="81"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135"/>
  <sheetViews>
    <sheetView view="pageLayout" workbookViewId="0" topLeftCell="B130">
      <selection activeCell="D122" sqref="D122"/>
    </sheetView>
  </sheetViews>
  <sheetFormatPr defaultColWidth="9.140625" defaultRowHeight="15"/>
  <cols>
    <col min="1" max="1" width="23.57421875" style="35" customWidth="1"/>
    <col min="2" max="2" width="39.140625" style="0" customWidth="1"/>
    <col min="3" max="3" width="11.28125" style="0" customWidth="1"/>
    <col min="4" max="4" width="11.00390625" style="0" customWidth="1"/>
    <col min="5" max="5" width="10.421875" style="0" customWidth="1"/>
  </cols>
  <sheetData>
    <row r="1" spans="4:5" ht="15">
      <c r="D1" s="233" t="s">
        <v>687</v>
      </c>
      <c r="E1" s="233"/>
    </row>
    <row r="2" spans="4:5" ht="15">
      <c r="D2" s="233" t="s">
        <v>801</v>
      </c>
      <c r="E2" s="233"/>
    </row>
    <row r="3" spans="4:5" ht="15">
      <c r="D3" s="233" t="s">
        <v>802</v>
      </c>
      <c r="E3" s="233"/>
    </row>
    <row r="4" spans="4:6" ht="15" customHeight="1">
      <c r="D4" s="234" t="s">
        <v>1005</v>
      </c>
      <c r="E4" s="234"/>
      <c r="F4" s="51"/>
    </row>
    <row r="5" spans="4:6" ht="15">
      <c r="D5" s="30"/>
      <c r="E5" s="30"/>
      <c r="F5" s="30"/>
    </row>
    <row r="6" spans="1:5" ht="49.5" customHeight="1">
      <c r="A6" s="231" t="s">
        <v>1017</v>
      </c>
      <c r="B6" s="231"/>
      <c r="C6" s="231"/>
      <c r="D6" s="231"/>
      <c r="E6" s="231"/>
    </row>
    <row r="7" spans="1:5" ht="16.5" customHeight="1">
      <c r="A7" s="9"/>
      <c r="B7" s="9"/>
      <c r="C7" s="9"/>
      <c r="D7" s="9"/>
      <c r="E7" s="9"/>
    </row>
    <row r="8" spans="1:5" ht="15.75" customHeight="1">
      <c r="A8" s="36"/>
      <c r="B8" s="9"/>
      <c r="C8" s="9"/>
      <c r="D8" s="249" t="s">
        <v>1019</v>
      </c>
      <c r="E8" s="9"/>
    </row>
    <row r="9" spans="1:5" ht="38.25">
      <c r="A9" s="201" t="s">
        <v>390</v>
      </c>
      <c r="B9" s="202" t="s">
        <v>1014</v>
      </c>
      <c r="C9" s="202" t="s">
        <v>1018</v>
      </c>
      <c r="D9" s="244" t="s">
        <v>1015</v>
      </c>
      <c r="E9" s="202" t="s">
        <v>1020</v>
      </c>
    </row>
    <row r="10" spans="1:5" ht="15">
      <c r="A10" s="2">
        <v>1</v>
      </c>
      <c r="B10" s="2">
        <v>2</v>
      </c>
      <c r="C10" s="55">
        <v>3</v>
      </c>
      <c r="D10" s="61" t="s">
        <v>806</v>
      </c>
      <c r="E10" s="55">
        <v>5</v>
      </c>
    </row>
    <row r="11" spans="1:5" ht="25.5">
      <c r="A11" s="10" t="s">
        <v>391</v>
      </c>
      <c r="B11" s="11" t="s">
        <v>125</v>
      </c>
      <c r="C11" s="12">
        <f>C12+C18+C24+C29+C32+C38+C49+C55+C64+C71</f>
        <v>211880.8</v>
      </c>
      <c r="D11" s="12">
        <f>D12+D18+D24+D29+D32+D38+D49+D55+D64+D71</f>
        <v>219054.09999999998</v>
      </c>
      <c r="E11" s="13">
        <f aca="true" t="shared" si="0" ref="E11:E74">D11/C11*100</f>
        <v>103.38553564079425</v>
      </c>
    </row>
    <row r="12" spans="1:5" ht="15">
      <c r="A12" s="14" t="s">
        <v>392</v>
      </c>
      <c r="B12" s="11" t="s">
        <v>126</v>
      </c>
      <c r="C12" s="12">
        <f>C13</f>
        <v>109348.09999999998</v>
      </c>
      <c r="D12" s="12">
        <f>D13</f>
        <v>112781.9</v>
      </c>
      <c r="E12" s="13">
        <f t="shared" si="0"/>
        <v>103.14024660693694</v>
      </c>
    </row>
    <row r="13" spans="1:5" ht="13.5" customHeight="1">
      <c r="A13" s="14" t="s">
        <v>393</v>
      </c>
      <c r="B13" s="15" t="s">
        <v>127</v>
      </c>
      <c r="C13" s="16">
        <f>C14+C15+C16+C17</f>
        <v>109348.09999999998</v>
      </c>
      <c r="D13" s="16">
        <f>D14+D15+D16+D17</f>
        <v>112781.9</v>
      </c>
      <c r="E13" s="17">
        <f t="shared" si="0"/>
        <v>103.14024660693694</v>
      </c>
    </row>
    <row r="14" spans="1:5" ht="81.75" customHeight="1">
      <c r="A14" s="14" t="s">
        <v>795</v>
      </c>
      <c r="B14" s="37" t="s">
        <v>394</v>
      </c>
      <c r="C14" s="16">
        <v>108711.9</v>
      </c>
      <c r="D14" s="16">
        <v>112416.2</v>
      </c>
      <c r="E14" s="17">
        <f t="shared" si="0"/>
        <v>103.40744665487402</v>
      </c>
    </row>
    <row r="15" spans="1:5" ht="117.75" customHeight="1">
      <c r="A15" s="14" t="s">
        <v>796</v>
      </c>
      <c r="B15" s="37" t="s">
        <v>395</v>
      </c>
      <c r="C15" s="16">
        <v>209.4</v>
      </c>
      <c r="D15" s="16">
        <v>133.2</v>
      </c>
      <c r="E15" s="17">
        <f t="shared" si="0"/>
        <v>63.61031518624641</v>
      </c>
    </row>
    <row r="16" spans="1:5" ht="51.75">
      <c r="A16" s="14" t="s">
        <v>797</v>
      </c>
      <c r="B16" s="37" t="s">
        <v>396</v>
      </c>
      <c r="C16" s="16">
        <v>179.4</v>
      </c>
      <c r="D16" s="16">
        <v>164.6</v>
      </c>
      <c r="E16" s="17">
        <f t="shared" si="0"/>
        <v>91.75027870680043</v>
      </c>
    </row>
    <row r="17" spans="1:5" ht="102">
      <c r="A17" s="14" t="s">
        <v>798</v>
      </c>
      <c r="B17" s="38" t="s">
        <v>397</v>
      </c>
      <c r="C17" s="16">
        <v>247.4</v>
      </c>
      <c r="D17" s="16">
        <v>67.9</v>
      </c>
      <c r="E17" s="17">
        <f t="shared" si="0"/>
        <v>27.445432497978985</v>
      </c>
    </row>
    <row r="18" spans="1:5" ht="38.25" customHeight="1">
      <c r="A18" s="27" t="s">
        <v>398</v>
      </c>
      <c r="B18" s="253" t="s">
        <v>1023</v>
      </c>
      <c r="C18" s="22">
        <f>C19</f>
        <v>2960.2</v>
      </c>
      <c r="D18" s="22">
        <f>D19</f>
        <v>3043.5</v>
      </c>
      <c r="E18" s="13">
        <f t="shared" si="0"/>
        <v>102.81399905411797</v>
      </c>
    </row>
    <row r="19" spans="1:5" ht="39">
      <c r="A19" s="27" t="s">
        <v>399</v>
      </c>
      <c r="B19" s="18" t="s">
        <v>128</v>
      </c>
      <c r="C19" s="19">
        <f>C20+C21+C22+C23</f>
        <v>2960.2</v>
      </c>
      <c r="D19" s="19">
        <f>D20+D21+D22+D23</f>
        <v>3043.5</v>
      </c>
      <c r="E19" s="17">
        <f t="shared" si="0"/>
        <v>102.81399905411797</v>
      </c>
    </row>
    <row r="20" spans="1:5" ht="76.5">
      <c r="A20" s="14" t="s">
        <v>400</v>
      </c>
      <c r="B20" s="20" t="s">
        <v>129</v>
      </c>
      <c r="C20" s="19">
        <v>1193.3</v>
      </c>
      <c r="D20" s="19">
        <v>1356.1</v>
      </c>
      <c r="E20" s="17">
        <f t="shared" si="0"/>
        <v>113.6428391854521</v>
      </c>
    </row>
    <row r="21" spans="1:5" ht="102">
      <c r="A21" s="14" t="s">
        <v>401</v>
      </c>
      <c r="B21" s="20" t="s">
        <v>130</v>
      </c>
      <c r="C21" s="19">
        <v>12.2</v>
      </c>
      <c r="D21" s="19">
        <v>13</v>
      </c>
      <c r="E21" s="17">
        <f t="shared" si="0"/>
        <v>106.55737704918033</v>
      </c>
    </row>
    <row r="22" spans="1:5" ht="76.5">
      <c r="A22" s="14" t="s">
        <v>402</v>
      </c>
      <c r="B22" s="20" t="s">
        <v>131</v>
      </c>
      <c r="C22" s="19">
        <v>1992.1</v>
      </c>
      <c r="D22" s="19">
        <v>1978.2</v>
      </c>
      <c r="E22" s="17">
        <f t="shared" si="0"/>
        <v>99.30224386325989</v>
      </c>
    </row>
    <row r="23" spans="1:5" ht="76.5">
      <c r="A23" s="14" t="s">
        <v>403</v>
      </c>
      <c r="B23" s="20" t="s">
        <v>132</v>
      </c>
      <c r="C23" s="19">
        <v>-237.4</v>
      </c>
      <c r="D23" s="19">
        <v>-303.8</v>
      </c>
      <c r="E23" s="17">
        <f t="shared" si="0"/>
        <v>127.96967144060658</v>
      </c>
    </row>
    <row r="24" spans="1:5" ht="15">
      <c r="A24" s="14" t="s">
        <v>404</v>
      </c>
      <c r="B24" s="252" t="s">
        <v>133</v>
      </c>
      <c r="C24" s="22">
        <f>C25+C27</f>
        <v>3227.9</v>
      </c>
      <c r="D24" s="22">
        <f>D25+D27</f>
        <v>2668.8</v>
      </c>
      <c r="E24" s="13">
        <f t="shared" si="0"/>
        <v>82.67914123733698</v>
      </c>
    </row>
    <row r="25" spans="1:5" ht="25.5">
      <c r="A25" s="14" t="s">
        <v>405</v>
      </c>
      <c r="B25" s="21" t="s">
        <v>134</v>
      </c>
      <c r="C25" s="19">
        <f>C26</f>
        <v>2875.9</v>
      </c>
      <c r="D25" s="19">
        <f>D26</f>
        <v>2328</v>
      </c>
      <c r="E25" s="17">
        <f t="shared" si="0"/>
        <v>80.94857262074481</v>
      </c>
    </row>
    <row r="26" spans="1:5" ht="25.5">
      <c r="A26" s="14" t="s">
        <v>406</v>
      </c>
      <c r="B26" s="21" t="s">
        <v>134</v>
      </c>
      <c r="C26" s="19">
        <v>2875.9</v>
      </c>
      <c r="D26" s="19">
        <v>2328</v>
      </c>
      <c r="E26" s="17">
        <f t="shared" si="0"/>
        <v>80.94857262074481</v>
      </c>
    </row>
    <row r="27" spans="1:5" ht="25.5">
      <c r="A27" s="14" t="s">
        <v>407</v>
      </c>
      <c r="B27" s="15" t="s">
        <v>135</v>
      </c>
      <c r="C27" s="19">
        <f>C28</f>
        <v>352</v>
      </c>
      <c r="D27" s="19">
        <f>D28</f>
        <v>340.8</v>
      </c>
      <c r="E27" s="17">
        <f t="shared" si="0"/>
        <v>96.81818181818183</v>
      </c>
    </row>
    <row r="28" spans="1:5" ht="51">
      <c r="A28" s="14" t="s">
        <v>800</v>
      </c>
      <c r="B28" s="15" t="s">
        <v>408</v>
      </c>
      <c r="C28" s="19">
        <v>352</v>
      </c>
      <c r="D28" s="19">
        <v>340.8</v>
      </c>
      <c r="E28" s="17">
        <f t="shared" si="0"/>
        <v>96.81818181818183</v>
      </c>
    </row>
    <row r="29" spans="1:5" ht="15">
      <c r="A29" s="14" t="s">
        <v>409</v>
      </c>
      <c r="B29" s="11" t="s">
        <v>136</v>
      </c>
      <c r="C29" s="22">
        <f>C30</f>
        <v>833</v>
      </c>
      <c r="D29" s="22">
        <f>D30</f>
        <v>880.3</v>
      </c>
      <c r="E29" s="13">
        <f t="shared" si="0"/>
        <v>105.6782713085234</v>
      </c>
    </row>
    <row r="30" spans="1:5" ht="38.25">
      <c r="A30" s="14" t="s">
        <v>410</v>
      </c>
      <c r="B30" s="15" t="s">
        <v>137</v>
      </c>
      <c r="C30" s="19">
        <f>C31</f>
        <v>833</v>
      </c>
      <c r="D30" s="19">
        <f>D31</f>
        <v>880.3</v>
      </c>
      <c r="E30" s="17">
        <f t="shared" si="0"/>
        <v>105.6782713085234</v>
      </c>
    </row>
    <row r="31" spans="1:5" ht="76.5">
      <c r="A31" s="14" t="s">
        <v>799</v>
      </c>
      <c r="B31" s="15" t="s">
        <v>411</v>
      </c>
      <c r="C31" s="19">
        <v>833</v>
      </c>
      <c r="D31" s="19">
        <v>880.3</v>
      </c>
      <c r="E31" s="17">
        <f t="shared" si="0"/>
        <v>105.6782713085234</v>
      </c>
    </row>
    <row r="32" spans="1:5" ht="38.25">
      <c r="A32" s="39" t="s">
        <v>412</v>
      </c>
      <c r="B32" s="251" t="s">
        <v>138</v>
      </c>
      <c r="C32" s="22">
        <f>C33</f>
        <v>1.3</v>
      </c>
      <c r="D32" s="22">
        <f>D33</f>
        <v>1.3</v>
      </c>
      <c r="E32" s="13">
        <f t="shared" si="0"/>
        <v>100</v>
      </c>
    </row>
    <row r="33" spans="1:5" ht="25.5">
      <c r="A33" s="39" t="s">
        <v>413</v>
      </c>
      <c r="B33" s="40" t="s">
        <v>414</v>
      </c>
      <c r="C33" s="19">
        <f>C34+C36</f>
        <v>1.3</v>
      </c>
      <c r="D33" s="19">
        <f>D34+D36</f>
        <v>1.3</v>
      </c>
      <c r="E33" s="17">
        <f t="shared" si="0"/>
        <v>100</v>
      </c>
    </row>
    <row r="34" spans="1:5" ht="51">
      <c r="A34" s="39" t="s">
        <v>415</v>
      </c>
      <c r="B34" s="40" t="s">
        <v>139</v>
      </c>
      <c r="C34" s="19">
        <f>C35</f>
        <v>0.1</v>
      </c>
      <c r="D34" s="19">
        <f>D35</f>
        <v>0.1</v>
      </c>
      <c r="E34" s="17">
        <f t="shared" si="0"/>
        <v>100</v>
      </c>
    </row>
    <row r="35" spans="1:5" ht="76.5">
      <c r="A35" s="39" t="s">
        <v>416</v>
      </c>
      <c r="B35" s="40" t="s">
        <v>417</v>
      </c>
      <c r="C35" s="19">
        <v>0.1</v>
      </c>
      <c r="D35" s="19">
        <v>0.1</v>
      </c>
      <c r="E35" s="17">
        <f t="shared" si="0"/>
        <v>100</v>
      </c>
    </row>
    <row r="36" spans="1:5" ht="15">
      <c r="A36" s="39" t="s">
        <v>418</v>
      </c>
      <c r="B36" s="40" t="s">
        <v>330</v>
      </c>
      <c r="C36" s="19">
        <f>C37</f>
        <v>1.2</v>
      </c>
      <c r="D36" s="19">
        <f>D37</f>
        <v>1.2</v>
      </c>
      <c r="E36" s="17">
        <f t="shared" si="0"/>
        <v>100</v>
      </c>
    </row>
    <row r="37" spans="1:5" ht="38.25">
      <c r="A37" s="39" t="s">
        <v>419</v>
      </c>
      <c r="B37" s="40" t="s">
        <v>420</v>
      </c>
      <c r="C37" s="19">
        <v>1.2</v>
      </c>
      <c r="D37" s="19">
        <v>1.2</v>
      </c>
      <c r="E37" s="17">
        <f t="shared" si="0"/>
        <v>100</v>
      </c>
    </row>
    <row r="38" spans="1:5" ht="54" customHeight="1">
      <c r="A38" s="14" t="s">
        <v>421</v>
      </c>
      <c r="B38" s="252" t="s">
        <v>140</v>
      </c>
      <c r="C38" s="22">
        <f>C39</f>
        <v>84796.1</v>
      </c>
      <c r="D38" s="22">
        <f>D39</f>
        <v>87737.5</v>
      </c>
      <c r="E38" s="13">
        <f t="shared" si="0"/>
        <v>103.46879160716118</v>
      </c>
    </row>
    <row r="39" spans="1:5" ht="108" customHeight="1">
      <c r="A39" s="14" t="s">
        <v>422</v>
      </c>
      <c r="B39" s="20" t="s">
        <v>423</v>
      </c>
      <c r="C39" s="19">
        <f>C40+C42+C44+C46</f>
        <v>84796.1</v>
      </c>
      <c r="D39" s="19">
        <f>D40+D42+D44+D46</f>
        <v>87737.5</v>
      </c>
      <c r="E39" s="17">
        <f t="shared" si="0"/>
        <v>103.46879160716118</v>
      </c>
    </row>
    <row r="40" spans="1:5" ht="76.5">
      <c r="A40" s="14" t="s">
        <v>424</v>
      </c>
      <c r="B40" s="38" t="s">
        <v>141</v>
      </c>
      <c r="C40" s="19">
        <f>C41</f>
        <v>77600</v>
      </c>
      <c r="D40" s="19">
        <f>D41</f>
        <v>79594.4</v>
      </c>
      <c r="E40" s="17">
        <f t="shared" si="0"/>
        <v>102.5701030927835</v>
      </c>
    </row>
    <row r="41" spans="1:5" ht="102">
      <c r="A41" s="14" t="s">
        <v>425</v>
      </c>
      <c r="B41" s="20" t="s">
        <v>426</v>
      </c>
      <c r="C41" s="19">
        <v>77600</v>
      </c>
      <c r="D41" s="19">
        <v>79594.4</v>
      </c>
      <c r="E41" s="17">
        <f t="shared" si="0"/>
        <v>102.5701030927835</v>
      </c>
    </row>
    <row r="42" spans="1:5" ht="90.75" customHeight="1">
      <c r="A42" s="14" t="s">
        <v>427</v>
      </c>
      <c r="B42" s="20" t="s">
        <v>377</v>
      </c>
      <c r="C42" s="19">
        <f>C43</f>
        <v>13.5</v>
      </c>
      <c r="D42" s="19">
        <f>D43</f>
        <v>16</v>
      </c>
      <c r="E42" s="17">
        <f t="shared" si="0"/>
        <v>118.5185185185185</v>
      </c>
    </row>
    <row r="43" spans="1:5" ht="89.25">
      <c r="A43" s="14" t="s">
        <v>428</v>
      </c>
      <c r="B43" s="20" t="s">
        <v>378</v>
      </c>
      <c r="C43" s="19">
        <v>13.5</v>
      </c>
      <c r="D43" s="19">
        <v>16</v>
      </c>
      <c r="E43" s="17">
        <f t="shared" si="0"/>
        <v>118.5185185185185</v>
      </c>
    </row>
    <row r="44" spans="1:5" ht="51">
      <c r="A44" s="14" t="s">
        <v>429</v>
      </c>
      <c r="B44" s="15" t="s">
        <v>331</v>
      </c>
      <c r="C44" s="19">
        <f>C45</f>
        <v>222.6</v>
      </c>
      <c r="D44" s="19">
        <f>D45</f>
        <v>224.8</v>
      </c>
      <c r="E44" s="17">
        <f t="shared" si="0"/>
        <v>100.98831985624439</v>
      </c>
    </row>
    <row r="45" spans="1:5" ht="45.75" customHeight="1">
      <c r="A45" s="14" t="s">
        <v>430</v>
      </c>
      <c r="B45" s="15" t="s">
        <v>142</v>
      </c>
      <c r="C45" s="19">
        <v>222.6</v>
      </c>
      <c r="D45" s="19">
        <v>224.8</v>
      </c>
      <c r="E45" s="17">
        <f t="shared" si="0"/>
        <v>100.98831985624439</v>
      </c>
    </row>
    <row r="46" spans="1:5" ht="52.5" customHeight="1">
      <c r="A46" s="14" t="s">
        <v>431</v>
      </c>
      <c r="B46" s="41" t="s">
        <v>332</v>
      </c>
      <c r="C46" s="19">
        <f>C47</f>
        <v>6960</v>
      </c>
      <c r="D46" s="19">
        <f>D47</f>
        <v>7902.3</v>
      </c>
      <c r="E46" s="17">
        <f t="shared" si="0"/>
        <v>113.53879310344827</v>
      </c>
    </row>
    <row r="47" spans="1:5" ht="51.75">
      <c r="A47" s="14" t="s">
        <v>432</v>
      </c>
      <c r="B47" s="41" t="s">
        <v>333</v>
      </c>
      <c r="C47" s="19">
        <f>C48</f>
        <v>6960</v>
      </c>
      <c r="D47" s="19">
        <f>D48</f>
        <v>7902.3</v>
      </c>
      <c r="E47" s="17">
        <f t="shared" si="0"/>
        <v>113.53879310344827</v>
      </c>
    </row>
    <row r="48" spans="1:5" ht="128.25">
      <c r="A48" s="14" t="s">
        <v>433</v>
      </c>
      <c r="B48" s="41" t="s">
        <v>334</v>
      </c>
      <c r="C48" s="19">
        <v>6960</v>
      </c>
      <c r="D48" s="19">
        <v>7902.3</v>
      </c>
      <c r="E48" s="17">
        <f t="shared" si="0"/>
        <v>113.53879310344827</v>
      </c>
    </row>
    <row r="49" spans="1:5" ht="25.5">
      <c r="A49" s="14" t="s">
        <v>434</v>
      </c>
      <c r="B49" s="11" t="s">
        <v>143</v>
      </c>
      <c r="C49" s="22">
        <f>C50</f>
        <v>7164</v>
      </c>
      <c r="D49" s="22">
        <f>D50</f>
        <v>7450.9</v>
      </c>
      <c r="E49" s="13">
        <f t="shared" si="0"/>
        <v>104.00474595198213</v>
      </c>
    </row>
    <row r="50" spans="1:5" ht="25.5">
      <c r="A50" s="14" t="s">
        <v>435</v>
      </c>
      <c r="B50" s="15" t="s">
        <v>144</v>
      </c>
      <c r="C50" s="19">
        <f>C51+C52+C53+C54</f>
        <v>7164</v>
      </c>
      <c r="D50" s="19">
        <f>D51+D52+D53+D54</f>
        <v>7450.9</v>
      </c>
      <c r="E50" s="17">
        <f t="shared" si="0"/>
        <v>104.00474595198213</v>
      </c>
    </row>
    <row r="51" spans="1:5" ht="38.25">
      <c r="A51" s="14" t="s">
        <v>436</v>
      </c>
      <c r="B51" s="42" t="s">
        <v>437</v>
      </c>
      <c r="C51" s="19">
        <v>45</v>
      </c>
      <c r="D51" s="19">
        <v>42.3</v>
      </c>
      <c r="E51" s="17">
        <f t="shared" si="0"/>
        <v>94</v>
      </c>
    </row>
    <row r="52" spans="1:5" ht="25.5">
      <c r="A52" s="14" t="s">
        <v>438</v>
      </c>
      <c r="B52" s="28" t="s">
        <v>439</v>
      </c>
      <c r="C52" s="19">
        <v>1481.1</v>
      </c>
      <c r="D52" s="19">
        <v>1486.2</v>
      </c>
      <c r="E52" s="17">
        <f t="shared" si="0"/>
        <v>100.34433866720683</v>
      </c>
    </row>
    <row r="53" spans="1:5" ht="25.5">
      <c r="A53" s="14" t="s">
        <v>440</v>
      </c>
      <c r="B53" s="42" t="s">
        <v>441</v>
      </c>
      <c r="C53" s="19">
        <v>13.2</v>
      </c>
      <c r="D53" s="19">
        <v>43.7</v>
      </c>
      <c r="E53" s="17">
        <f t="shared" si="0"/>
        <v>331.0606060606061</v>
      </c>
    </row>
    <row r="54" spans="1:5" ht="51">
      <c r="A54" s="14" t="s">
        <v>442</v>
      </c>
      <c r="B54" s="42" t="s">
        <v>443</v>
      </c>
      <c r="C54" s="19">
        <v>5624.7</v>
      </c>
      <c r="D54" s="19">
        <v>5878.7</v>
      </c>
      <c r="E54" s="17">
        <f t="shared" si="0"/>
        <v>104.51579639803012</v>
      </c>
    </row>
    <row r="55" spans="1:5" ht="38.25">
      <c r="A55" s="14" t="s">
        <v>444</v>
      </c>
      <c r="B55" s="11" t="s">
        <v>145</v>
      </c>
      <c r="C55" s="22">
        <f>C56+C59</f>
        <v>514.7</v>
      </c>
      <c r="D55" s="22">
        <f>D56+D59</f>
        <v>660.1</v>
      </c>
      <c r="E55" s="13">
        <f t="shared" si="0"/>
        <v>128.2494657081795</v>
      </c>
    </row>
    <row r="56" spans="1:5" ht="15">
      <c r="A56" s="14" t="s">
        <v>445</v>
      </c>
      <c r="B56" s="15" t="s">
        <v>146</v>
      </c>
      <c r="C56" s="19">
        <f>C57</f>
        <v>7.2</v>
      </c>
      <c r="D56" s="19">
        <f>D57</f>
        <v>8.1</v>
      </c>
      <c r="E56" s="17">
        <f t="shared" si="0"/>
        <v>112.5</v>
      </c>
    </row>
    <row r="57" spans="1:5" ht="25.5">
      <c r="A57" s="14" t="s">
        <v>446</v>
      </c>
      <c r="B57" s="15" t="s">
        <v>147</v>
      </c>
      <c r="C57" s="19">
        <f>C58</f>
        <v>7.2</v>
      </c>
      <c r="D57" s="19">
        <f>D58</f>
        <v>8.1</v>
      </c>
      <c r="E57" s="17">
        <f t="shared" si="0"/>
        <v>112.5</v>
      </c>
    </row>
    <row r="58" spans="1:5" ht="38.25">
      <c r="A58" s="14" t="s">
        <v>447</v>
      </c>
      <c r="B58" s="21" t="s">
        <v>148</v>
      </c>
      <c r="C58" s="19">
        <v>7.2</v>
      </c>
      <c r="D58" s="19">
        <v>8.1</v>
      </c>
      <c r="E58" s="17">
        <f t="shared" si="0"/>
        <v>112.5</v>
      </c>
    </row>
    <row r="59" spans="1:5" ht="15">
      <c r="A59" s="14" t="s">
        <v>448</v>
      </c>
      <c r="B59" s="15" t="s">
        <v>149</v>
      </c>
      <c r="C59" s="19">
        <f>C60+C62</f>
        <v>507.5</v>
      </c>
      <c r="D59" s="19">
        <f>D60+D62</f>
        <v>652</v>
      </c>
      <c r="E59" s="17">
        <f t="shared" si="0"/>
        <v>128.4729064039409</v>
      </c>
    </row>
    <row r="60" spans="1:5" ht="38.25">
      <c r="A60" s="14" t="s">
        <v>449</v>
      </c>
      <c r="B60" s="15" t="s">
        <v>335</v>
      </c>
      <c r="C60" s="19">
        <f>C61</f>
        <v>19.8</v>
      </c>
      <c r="D60" s="19">
        <f>D61</f>
        <v>19.8</v>
      </c>
      <c r="E60" s="17">
        <f t="shared" si="0"/>
        <v>100</v>
      </c>
    </row>
    <row r="61" spans="1:5" ht="38.25">
      <c r="A61" s="14" t="s">
        <v>450</v>
      </c>
      <c r="B61" s="15" t="s">
        <v>336</v>
      </c>
      <c r="C61" s="19">
        <v>19.8</v>
      </c>
      <c r="D61" s="19">
        <v>19.8</v>
      </c>
      <c r="E61" s="17">
        <f t="shared" si="0"/>
        <v>100</v>
      </c>
    </row>
    <row r="62" spans="1:5" ht="25.5">
      <c r="A62" s="14" t="s">
        <v>451</v>
      </c>
      <c r="B62" s="15" t="s">
        <v>150</v>
      </c>
      <c r="C62" s="19">
        <f>C63</f>
        <v>487.7</v>
      </c>
      <c r="D62" s="19">
        <f>D63</f>
        <v>632.2</v>
      </c>
      <c r="E62" s="17">
        <f t="shared" si="0"/>
        <v>129.62887020709454</v>
      </c>
    </row>
    <row r="63" spans="1:5" ht="25.5">
      <c r="A63" s="14" t="s">
        <v>452</v>
      </c>
      <c r="B63" s="15" t="s">
        <v>151</v>
      </c>
      <c r="C63" s="19">
        <v>487.7</v>
      </c>
      <c r="D63" s="19">
        <v>632.2</v>
      </c>
      <c r="E63" s="17">
        <f t="shared" si="0"/>
        <v>129.62887020709454</v>
      </c>
    </row>
    <row r="64" spans="1:5" ht="29.25" customHeight="1">
      <c r="A64" s="14" t="s">
        <v>453</v>
      </c>
      <c r="B64" s="11" t="s">
        <v>152</v>
      </c>
      <c r="C64" s="22">
        <f>C65+C68</f>
        <v>2290</v>
      </c>
      <c r="D64" s="22">
        <f>D65+D68</f>
        <v>2580.3</v>
      </c>
      <c r="E64" s="13">
        <f t="shared" si="0"/>
        <v>112.67685589519651</v>
      </c>
    </row>
    <row r="65" spans="1:5" ht="38.25">
      <c r="A65" s="14" t="s">
        <v>454</v>
      </c>
      <c r="B65" s="43" t="s">
        <v>337</v>
      </c>
      <c r="C65" s="19">
        <f>C66</f>
        <v>2200</v>
      </c>
      <c r="D65" s="19">
        <f>D66</f>
        <v>2471.3</v>
      </c>
      <c r="E65" s="17">
        <f t="shared" si="0"/>
        <v>112.33181818181819</v>
      </c>
    </row>
    <row r="66" spans="1:5" ht="38.25">
      <c r="A66" s="14" t="s">
        <v>455</v>
      </c>
      <c r="B66" s="15" t="s">
        <v>153</v>
      </c>
      <c r="C66" s="19">
        <f>C67</f>
        <v>2200</v>
      </c>
      <c r="D66" s="19">
        <f>D67</f>
        <v>2471.3</v>
      </c>
      <c r="E66" s="17">
        <f t="shared" si="0"/>
        <v>112.33181818181819</v>
      </c>
    </row>
    <row r="67" spans="1:5" ht="63.75">
      <c r="A67" s="14" t="s">
        <v>456</v>
      </c>
      <c r="B67" s="21" t="s">
        <v>457</v>
      </c>
      <c r="C67" s="19">
        <v>2200</v>
      </c>
      <c r="D67" s="19">
        <v>2471.3</v>
      </c>
      <c r="E67" s="17">
        <f t="shared" si="0"/>
        <v>112.33181818181819</v>
      </c>
    </row>
    <row r="68" spans="1:5" ht="89.25">
      <c r="A68" s="14" t="s">
        <v>458</v>
      </c>
      <c r="B68" s="15" t="s">
        <v>338</v>
      </c>
      <c r="C68" s="19">
        <f>C69</f>
        <v>90</v>
      </c>
      <c r="D68" s="19">
        <f>D69</f>
        <v>109</v>
      </c>
      <c r="E68" s="17">
        <f t="shared" si="0"/>
        <v>121.1111111111111</v>
      </c>
    </row>
    <row r="69" spans="1:5" ht="81.75" customHeight="1">
      <c r="A69" s="14" t="s">
        <v>459</v>
      </c>
      <c r="B69" s="38" t="s">
        <v>339</v>
      </c>
      <c r="C69" s="19">
        <f>C70</f>
        <v>90</v>
      </c>
      <c r="D69" s="19">
        <f>D70</f>
        <v>109</v>
      </c>
      <c r="E69" s="17">
        <f t="shared" si="0"/>
        <v>121.1111111111111</v>
      </c>
    </row>
    <row r="70" spans="1:5" ht="102">
      <c r="A70" s="14" t="s">
        <v>460</v>
      </c>
      <c r="B70" s="38" t="s">
        <v>340</v>
      </c>
      <c r="C70" s="19">
        <v>90</v>
      </c>
      <c r="D70" s="19">
        <v>109</v>
      </c>
      <c r="E70" s="17">
        <f t="shared" si="0"/>
        <v>121.1111111111111</v>
      </c>
    </row>
    <row r="71" spans="1:5" ht="25.5">
      <c r="A71" s="39" t="s">
        <v>461</v>
      </c>
      <c r="B71" s="251" t="s">
        <v>462</v>
      </c>
      <c r="C71" s="22">
        <f>C72+C74+C78+C80+C82+C83+C73+C76</f>
        <v>745.5</v>
      </c>
      <c r="D71" s="22">
        <f>D72+D74+D78+D80+D82+D83+D73+D76</f>
        <v>1249.5</v>
      </c>
      <c r="E71" s="13">
        <f t="shared" si="0"/>
        <v>167.6056338028169</v>
      </c>
    </row>
    <row r="72" spans="1:5" ht="127.5">
      <c r="A72" s="39" t="s">
        <v>463</v>
      </c>
      <c r="B72" s="40" t="s">
        <v>464</v>
      </c>
      <c r="C72" s="19">
        <v>150</v>
      </c>
      <c r="D72" s="19">
        <v>162.6</v>
      </c>
      <c r="E72" s="17">
        <f t="shared" si="0"/>
        <v>108.39999999999999</v>
      </c>
    </row>
    <row r="73" spans="1:5" ht="38.25">
      <c r="A73" s="39" t="s">
        <v>721</v>
      </c>
      <c r="B73" s="40" t="s">
        <v>722</v>
      </c>
      <c r="C73" s="19">
        <v>0</v>
      </c>
      <c r="D73" s="19">
        <v>188.4</v>
      </c>
      <c r="E73" s="17" t="e">
        <f t="shared" si="0"/>
        <v>#DIV/0!</v>
      </c>
    </row>
    <row r="74" spans="1:5" ht="51">
      <c r="A74" s="39" t="s">
        <v>465</v>
      </c>
      <c r="B74" s="40" t="s">
        <v>379</v>
      </c>
      <c r="C74" s="19">
        <f>C75</f>
        <v>3.5</v>
      </c>
      <c r="D74" s="19">
        <f>D75</f>
        <v>3.7</v>
      </c>
      <c r="E74" s="17">
        <f t="shared" si="0"/>
        <v>105.71428571428572</v>
      </c>
    </row>
    <row r="75" spans="1:5" ht="63.75">
      <c r="A75" s="39" t="s">
        <v>466</v>
      </c>
      <c r="B75" s="40" t="s">
        <v>380</v>
      </c>
      <c r="C75" s="19">
        <v>3.5</v>
      </c>
      <c r="D75" s="19">
        <v>3.7</v>
      </c>
      <c r="E75" s="17">
        <f aca="true" t="shared" si="1" ref="E75:E122">D75/C75*100</f>
        <v>105.71428571428572</v>
      </c>
    </row>
    <row r="76" spans="1:5" ht="63.75">
      <c r="A76" s="39" t="s">
        <v>790</v>
      </c>
      <c r="B76" s="40" t="s">
        <v>792</v>
      </c>
      <c r="C76" s="19">
        <f>C77</f>
        <v>0</v>
      </c>
      <c r="D76" s="19">
        <f>D77</f>
        <v>35</v>
      </c>
      <c r="E76" s="17" t="e">
        <f t="shared" si="1"/>
        <v>#DIV/0!</v>
      </c>
    </row>
    <row r="77" spans="1:5" ht="76.5">
      <c r="A77" s="39" t="s">
        <v>791</v>
      </c>
      <c r="B77" s="40" t="s">
        <v>793</v>
      </c>
      <c r="C77" s="19">
        <v>0</v>
      </c>
      <c r="D77" s="19">
        <v>35</v>
      </c>
      <c r="E77" s="17" t="e">
        <f t="shared" si="1"/>
        <v>#DIV/0!</v>
      </c>
    </row>
    <row r="78" spans="1:5" ht="25.5">
      <c r="A78" s="39" t="s">
        <v>467</v>
      </c>
      <c r="B78" s="40" t="s">
        <v>354</v>
      </c>
      <c r="C78" s="19">
        <f>C79</f>
        <v>60</v>
      </c>
      <c r="D78" s="19">
        <f>D79</f>
        <v>270.1</v>
      </c>
      <c r="E78" s="17">
        <f t="shared" si="1"/>
        <v>450.1666666666667</v>
      </c>
    </row>
    <row r="79" spans="1:5" ht="51">
      <c r="A79" s="39" t="s">
        <v>468</v>
      </c>
      <c r="B79" s="40" t="s">
        <v>469</v>
      </c>
      <c r="C79" s="19">
        <v>60</v>
      </c>
      <c r="D79" s="19">
        <v>270.1</v>
      </c>
      <c r="E79" s="17">
        <f t="shared" si="1"/>
        <v>450.1666666666667</v>
      </c>
    </row>
    <row r="80" spans="1:5" ht="63.75">
      <c r="A80" s="39" t="s">
        <v>470</v>
      </c>
      <c r="B80" s="40" t="s">
        <v>471</v>
      </c>
      <c r="C80" s="19">
        <f>C81</f>
        <v>48.6</v>
      </c>
      <c r="D80" s="19">
        <f>D81</f>
        <v>48.6</v>
      </c>
      <c r="E80" s="17">
        <f t="shared" si="1"/>
        <v>100</v>
      </c>
    </row>
    <row r="81" spans="1:5" ht="89.25">
      <c r="A81" s="39" t="s">
        <v>472</v>
      </c>
      <c r="B81" s="40" t="s">
        <v>473</v>
      </c>
      <c r="C81" s="19">
        <v>48.6</v>
      </c>
      <c r="D81" s="19">
        <v>48.6</v>
      </c>
      <c r="E81" s="17">
        <f t="shared" si="1"/>
        <v>100</v>
      </c>
    </row>
    <row r="82" spans="1:5" ht="76.5">
      <c r="A82" s="39" t="s">
        <v>474</v>
      </c>
      <c r="B82" s="40" t="s">
        <v>475</v>
      </c>
      <c r="C82" s="19">
        <v>13</v>
      </c>
      <c r="D82" s="19">
        <v>164.3</v>
      </c>
      <c r="E82" s="17">
        <f t="shared" si="1"/>
        <v>1263.846153846154</v>
      </c>
    </row>
    <row r="83" spans="1:5" ht="25.5">
      <c r="A83" s="39" t="s">
        <v>476</v>
      </c>
      <c r="B83" s="40" t="s">
        <v>154</v>
      </c>
      <c r="C83" s="19">
        <f>C84</f>
        <v>470.4</v>
      </c>
      <c r="D83" s="19">
        <f>D84</f>
        <v>376.8</v>
      </c>
      <c r="E83" s="17">
        <f t="shared" si="1"/>
        <v>80.10204081632654</v>
      </c>
    </row>
    <row r="84" spans="1:5" ht="51">
      <c r="A84" s="39" t="s">
        <v>477</v>
      </c>
      <c r="B84" s="40" t="s">
        <v>155</v>
      </c>
      <c r="C84" s="19">
        <v>470.4</v>
      </c>
      <c r="D84" s="19">
        <v>376.8</v>
      </c>
      <c r="E84" s="17">
        <f t="shared" si="1"/>
        <v>80.10204081632654</v>
      </c>
    </row>
    <row r="85" spans="1:5" ht="25.5">
      <c r="A85" s="44" t="s">
        <v>478</v>
      </c>
      <c r="B85" s="45" t="s">
        <v>156</v>
      </c>
      <c r="C85" s="22">
        <f>C86+C119</f>
        <v>325712.30000000005</v>
      </c>
      <c r="D85" s="22">
        <f>D86+D119+D123+D131</f>
        <v>320606.4</v>
      </c>
      <c r="E85" s="13">
        <f t="shared" si="1"/>
        <v>98.43238956588375</v>
      </c>
    </row>
    <row r="86" spans="1:5" ht="38.25">
      <c r="A86" s="39" t="s">
        <v>479</v>
      </c>
      <c r="B86" s="45" t="s">
        <v>480</v>
      </c>
      <c r="C86" s="22">
        <f>C87+C92+C101+C114</f>
        <v>324262.10000000003</v>
      </c>
      <c r="D86" s="22">
        <f>D87+D92+D101+D114</f>
        <v>319415.4</v>
      </c>
      <c r="E86" s="13">
        <f t="shared" si="1"/>
        <v>98.50531406538106</v>
      </c>
    </row>
    <row r="87" spans="1:5" ht="25.5">
      <c r="A87" s="39" t="s">
        <v>481</v>
      </c>
      <c r="B87" s="46" t="s">
        <v>341</v>
      </c>
      <c r="C87" s="19">
        <f>C88+C90</f>
        <v>48829.3</v>
      </c>
      <c r="D87" s="19">
        <f>D88+D90</f>
        <v>48829.3</v>
      </c>
      <c r="E87" s="17">
        <f t="shared" si="1"/>
        <v>100</v>
      </c>
    </row>
    <row r="88" spans="1:5" ht="25.5">
      <c r="A88" s="39" t="s">
        <v>482</v>
      </c>
      <c r="B88" s="46" t="s">
        <v>157</v>
      </c>
      <c r="C88" s="19">
        <f>C89</f>
        <v>47841.3</v>
      </c>
      <c r="D88" s="19">
        <v>47841.3</v>
      </c>
      <c r="E88" s="17">
        <f t="shared" si="1"/>
        <v>100</v>
      </c>
    </row>
    <row r="89" spans="1:5" ht="25.5">
      <c r="A89" s="39" t="s">
        <v>483</v>
      </c>
      <c r="B89" s="46" t="s">
        <v>381</v>
      </c>
      <c r="C89" s="19">
        <v>47841.3</v>
      </c>
      <c r="D89" s="19">
        <v>35880.9</v>
      </c>
      <c r="E89" s="17">
        <f t="shared" si="1"/>
        <v>74.99984323168476</v>
      </c>
    </row>
    <row r="90" spans="1:5" ht="25.5">
      <c r="A90" s="39" t="s">
        <v>788</v>
      </c>
      <c r="B90" s="46" t="s">
        <v>789</v>
      </c>
      <c r="C90" s="19">
        <f>C91</f>
        <v>988</v>
      </c>
      <c r="D90" s="19">
        <f>D91</f>
        <v>988</v>
      </c>
      <c r="E90" s="17">
        <f t="shared" si="1"/>
        <v>100</v>
      </c>
    </row>
    <row r="91" spans="1:5" ht="38.25">
      <c r="A91" s="39" t="s">
        <v>787</v>
      </c>
      <c r="B91" s="46" t="s">
        <v>786</v>
      </c>
      <c r="C91" s="19">
        <v>988</v>
      </c>
      <c r="D91" s="19">
        <v>988</v>
      </c>
      <c r="E91" s="17">
        <f t="shared" si="1"/>
        <v>100</v>
      </c>
    </row>
    <row r="92" spans="1:5" ht="38.25">
      <c r="A92" s="39" t="s">
        <v>484</v>
      </c>
      <c r="B92" s="46" t="s">
        <v>342</v>
      </c>
      <c r="C92" s="19">
        <f>C93+C99+C95+C97</f>
        <v>90677.69999999998</v>
      </c>
      <c r="D92" s="19">
        <f>D93+D99+D95+D97</f>
        <v>83009.70000000001</v>
      </c>
      <c r="E92" s="17">
        <f t="shared" si="1"/>
        <v>91.54367611882527</v>
      </c>
    </row>
    <row r="93" spans="1:5" ht="89.25">
      <c r="A93" s="39" t="s">
        <v>485</v>
      </c>
      <c r="B93" s="46" t="s">
        <v>486</v>
      </c>
      <c r="C93" s="19">
        <f>C94</f>
        <v>2087</v>
      </c>
      <c r="D93" s="19">
        <f>D94</f>
        <v>2087</v>
      </c>
      <c r="E93" s="17">
        <f t="shared" si="1"/>
        <v>100</v>
      </c>
    </row>
    <row r="94" spans="1:5" ht="102">
      <c r="A94" s="39" t="s">
        <v>487</v>
      </c>
      <c r="B94" s="46" t="s">
        <v>488</v>
      </c>
      <c r="C94" s="19">
        <v>2087</v>
      </c>
      <c r="D94" s="19">
        <v>2087</v>
      </c>
      <c r="E94" s="17">
        <f t="shared" si="1"/>
        <v>100</v>
      </c>
    </row>
    <row r="95" spans="1:5" ht="38.25">
      <c r="A95" s="39" t="s">
        <v>709</v>
      </c>
      <c r="B95" s="46" t="s">
        <v>710</v>
      </c>
      <c r="C95" s="19">
        <f>C96</f>
        <v>2215.9</v>
      </c>
      <c r="D95" s="19">
        <f>D96</f>
        <v>764.6</v>
      </c>
      <c r="E95" s="17">
        <f t="shared" si="1"/>
        <v>34.505167200685946</v>
      </c>
    </row>
    <row r="96" spans="1:5" ht="38.25">
      <c r="A96" s="39" t="s">
        <v>711</v>
      </c>
      <c r="B96" s="46" t="s">
        <v>712</v>
      </c>
      <c r="C96" s="19">
        <v>2215.9</v>
      </c>
      <c r="D96" s="19">
        <v>764.6</v>
      </c>
      <c r="E96" s="17">
        <f t="shared" si="1"/>
        <v>34.505167200685946</v>
      </c>
    </row>
    <row r="97" spans="1:5" ht="63.75">
      <c r="A97" s="39" t="s">
        <v>713</v>
      </c>
      <c r="B97" s="46" t="s">
        <v>714</v>
      </c>
      <c r="C97" s="19">
        <f>C98</f>
        <v>4919.4</v>
      </c>
      <c r="D97" s="19">
        <f>D98</f>
        <v>4401</v>
      </c>
      <c r="E97" s="17">
        <f t="shared" si="1"/>
        <v>89.46212952799122</v>
      </c>
    </row>
    <row r="98" spans="1:5" ht="63.75">
      <c r="A98" s="39" t="s">
        <v>715</v>
      </c>
      <c r="B98" s="46" t="s">
        <v>716</v>
      </c>
      <c r="C98" s="19">
        <v>4919.4</v>
      </c>
      <c r="D98" s="19">
        <v>4401</v>
      </c>
      <c r="E98" s="17">
        <f t="shared" si="1"/>
        <v>89.46212952799122</v>
      </c>
    </row>
    <row r="99" spans="1:5" ht="15">
      <c r="A99" s="39" t="s">
        <v>489</v>
      </c>
      <c r="B99" s="46" t="s">
        <v>158</v>
      </c>
      <c r="C99" s="19">
        <f>C100</f>
        <v>81455.4</v>
      </c>
      <c r="D99" s="19">
        <f>D100</f>
        <v>75757.1</v>
      </c>
      <c r="E99" s="17">
        <f t="shared" si="1"/>
        <v>93.00439258784563</v>
      </c>
    </row>
    <row r="100" spans="1:5" ht="25.5">
      <c r="A100" s="39" t="s">
        <v>490</v>
      </c>
      <c r="B100" s="46" t="s">
        <v>159</v>
      </c>
      <c r="C100" s="19">
        <v>81455.4</v>
      </c>
      <c r="D100" s="19">
        <v>75757.1</v>
      </c>
      <c r="E100" s="17">
        <f t="shared" si="1"/>
        <v>93.00439258784563</v>
      </c>
    </row>
    <row r="101" spans="1:5" ht="25.5">
      <c r="A101" s="39" t="s">
        <v>491</v>
      </c>
      <c r="B101" s="46" t="s">
        <v>343</v>
      </c>
      <c r="C101" s="19">
        <f>C102+C104+C106+C110+C112+C108</f>
        <v>180798.30000000002</v>
      </c>
      <c r="D101" s="19">
        <f>D102+D104+D106+D110+D112+D108</f>
        <v>184001.80000000002</v>
      </c>
      <c r="E101" s="17">
        <f t="shared" si="1"/>
        <v>101.77186400535845</v>
      </c>
    </row>
    <row r="102" spans="1:5" ht="38.25">
      <c r="A102" s="39" t="s">
        <v>492</v>
      </c>
      <c r="B102" s="46" t="s">
        <v>162</v>
      </c>
      <c r="C102" s="19">
        <f>C103</f>
        <v>176816.6</v>
      </c>
      <c r="D102" s="19">
        <f>D103</f>
        <v>180156.7</v>
      </c>
      <c r="E102" s="17">
        <f t="shared" si="1"/>
        <v>101.8890194698914</v>
      </c>
    </row>
    <row r="103" spans="1:5" ht="51">
      <c r="A103" s="39" t="s">
        <v>493</v>
      </c>
      <c r="B103" s="46" t="s">
        <v>163</v>
      </c>
      <c r="C103" s="19">
        <v>176816.6</v>
      </c>
      <c r="D103" s="19">
        <v>180156.7</v>
      </c>
      <c r="E103" s="17">
        <f t="shared" si="1"/>
        <v>101.8890194698914</v>
      </c>
    </row>
    <row r="104" spans="1:5" ht="76.5">
      <c r="A104" s="39" t="s">
        <v>494</v>
      </c>
      <c r="B104" s="46" t="s">
        <v>495</v>
      </c>
      <c r="C104" s="19">
        <f>C105</f>
        <v>3037.6</v>
      </c>
      <c r="D104" s="19">
        <f>D105</f>
        <v>3037.6</v>
      </c>
      <c r="E104" s="17">
        <f t="shared" si="1"/>
        <v>100</v>
      </c>
    </row>
    <row r="105" spans="1:5" ht="72" customHeight="1">
      <c r="A105" s="39" t="s">
        <v>496</v>
      </c>
      <c r="B105" s="46" t="s">
        <v>497</v>
      </c>
      <c r="C105" s="19">
        <v>3037.6</v>
      </c>
      <c r="D105" s="19">
        <v>3037.6</v>
      </c>
      <c r="E105" s="17">
        <f t="shared" si="1"/>
        <v>100</v>
      </c>
    </row>
    <row r="106" spans="1:5" ht="63.75">
      <c r="A106" s="39" t="s">
        <v>498</v>
      </c>
      <c r="B106" s="46" t="s">
        <v>499</v>
      </c>
      <c r="C106" s="19">
        <f>C107</f>
        <v>4.7</v>
      </c>
      <c r="D106" s="19">
        <f>D107</f>
        <v>4.7</v>
      </c>
      <c r="E106" s="17">
        <f t="shared" si="1"/>
        <v>100</v>
      </c>
    </row>
    <row r="107" spans="1:5" ht="63.75">
      <c r="A107" s="39" t="s">
        <v>500</v>
      </c>
      <c r="B107" s="46" t="s">
        <v>501</v>
      </c>
      <c r="C107" s="19">
        <v>4.7</v>
      </c>
      <c r="D107" s="19">
        <v>4.7</v>
      </c>
      <c r="E107" s="17">
        <f t="shared" si="1"/>
        <v>100</v>
      </c>
    </row>
    <row r="108" spans="1:5" ht="51">
      <c r="A108" s="39" t="s">
        <v>717</v>
      </c>
      <c r="B108" s="46" t="s">
        <v>718</v>
      </c>
      <c r="C108" s="19">
        <f>C109</f>
        <v>139.6</v>
      </c>
      <c r="D108" s="19">
        <f>D109</f>
        <v>4</v>
      </c>
      <c r="E108" s="17">
        <f t="shared" si="1"/>
        <v>2.865329512893983</v>
      </c>
    </row>
    <row r="109" spans="1:5" ht="51">
      <c r="A109" s="39" t="s">
        <v>719</v>
      </c>
      <c r="B109" s="46" t="s">
        <v>720</v>
      </c>
      <c r="C109" s="19">
        <v>139.6</v>
      </c>
      <c r="D109" s="19">
        <v>4</v>
      </c>
      <c r="E109" s="17">
        <f t="shared" si="1"/>
        <v>2.865329512893983</v>
      </c>
    </row>
    <row r="110" spans="1:5" ht="30" customHeight="1">
      <c r="A110" s="39" t="s">
        <v>502</v>
      </c>
      <c r="B110" s="46" t="s">
        <v>160</v>
      </c>
      <c r="C110" s="19">
        <f>C111</f>
        <v>778.4</v>
      </c>
      <c r="D110" s="19">
        <f>D111</f>
        <v>778.4</v>
      </c>
      <c r="E110" s="17">
        <f t="shared" si="1"/>
        <v>100</v>
      </c>
    </row>
    <row r="111" spans="1:5" ht="38.25">
      <c r="A111" s="39" t="s">
        <v>503</v>
      </c>
      <c r="B111" s="46" t="s">
        <v>161</v>
      </c>
      <c r="C111" s="19">
        <v>778.4</v>
      </c>
      <c r="D111" s="19">
        <v>778.4</v>
      </c>
      <c r="E111" s="17">
        <f t="shared" si="1"/>
        <v>100</v>
      </c>
    </row>
    <row r="112" spans="1:5" ht="15">
      <c r="A112" s="39" t="s">
        <v>504</v>
      </c>
      <c r="B112" s="46" t="s">
        <v>505</v>
      </c>
      <c r="C112" s="19">
        <f>C113</f>
        <v>21.4</v>
      </c>
      <c r="D112" s="19">
        <v>20.4</v>
      </c>
      <c r="E112" s="17">
        <f t="shared" si="1"/>
        <v>95.32710280373831</v>
      </c>
    </row>
    <row r="113" spans="1:5" ht="25.5">
      <c r="A113" s="39" t="s">
        <v>506</v>
      </c>
      <c r="B113" s="46" t="s">
        <v>507</v>
      </c>
      <c r="C113" s="19">
        <v>21.4</v>
      </c>
      <c r="D113" s="19">
        <v>6.1</v>
      </c>
      <c r="E113" s="17">
        <f t="shared" si="1"/>
        <v>28.504672897196258</v>
      </c>
    </row>
    <row r="114" spans="1:5" ht="15">
      <c r="A114" s="39" t="s">
        <v>508</v>
      </c>
      <c r="B114" s="46" t="s">
        <v>19</v>
      </c>
      <c r="C114" s="19">
        <f>C115+C117</f>
        <v>3956.7999999999997</v>
      </c>
      <c r="D114" s="19">
        <f>D115+D117</f>
        <v>3574.6</v>
      </c>
      <c r="E114" s="17">
        <f t="shared" si="1"/>
        <v>90.34067933683785</v>
      </c>
    </row>
    <row r="115" spans="1:5" ht="63.75">
      <c r="A115" s="39" t="s">
        <v>509</v>
      </c>
      <c r="B115" s="46" t="s">
        <v>164</v>
      </c>
      <c r="C115" s="19">
        <f>C116</f>
        <v>2614.2</v>
      </c>
      <c r="D115" s="19">
        <f>D116</f>
        <v>2385.1</v>
      </c>
      <c r="E115" s="17">
        <f t="shared" si="1"/>
        <v>91.23632468824114</v>
      </c>
    </row>
    <row r="116" spans="1:5" ht="76.5">
      <c r="A116" s="39" t="s">
        <v>510</v>
      </c>
      <c r="B116" s="47" t="s">
        <v>511</v>
      </c>
      <c r="C116" s="48">
        <v>2614.2</v>
      </c>
      <c r="D116" s="48">
        <v>2385.1</v>
      </c>
      <c r="E116" s="17">
        <f t="shared" si="1"/>
        <v>91.23632468824114</v>
      </c>
    </row>
    <row r="117" spans="1:5" ht="25.5">
      <c r="A117" s="39" t="s">
        <v>512</v>
      </c>
      <c r="B117" s="47" t="s">
        <v>355</v>
      </c>
      <c r="C117" s="48">
        <f>C118</f>
        <v>1342.6</v>
      </c>
      <c r="D117" s="48">
        <f>D118</f>
        <v>1189.5</v>
      </c>
      <c r="E117" s="17">
        <f t="shared" si="1"/>
        <v>88.596752569641</v>
      </c>
    </row>
    <row r="118" spans="1:5" ht="38.25">
      <c r="A118" s="39" t="s">
        <v>513</v>
      </c>
      <c r="B118" s="47" t="s">
        <v>356</v>
      </c>
      <c r="C118" s="48">
        <v>1342.6</v>
      </c>
      <c r="D118" s="48">
        <v>1189.5</v>
      </c>
      <c r="E118" s="17">
        <f t="shared" si="1"/>
        <v>88.596752569641</v>
      </c>
    </row>
    <row r="119" spans="1:5" ht="25.5">
      <c r="A119" s="39" t="s">
        <v>514</v>
      </c>
      <c r="B119" s="250" t="s">
        <v>357</v>
      </c>
      <c r="C119" s="23">
        <f>C120</f>
        <v>1450.2</v>
      </c>
      <c r="D119" s="23">
        <f>D120</f>
        <v>1450.2</v>
      </c>
      <c r="E119" s="13">
        <f t="shared" si="1"/>
        <v>100</v>
      </c>
    </row>
    <row r="120" spans="1:5" ht="25.5">
      <c r="A120" s="39" t="s">
        <v>515</v>
      </c>
      <c r="B120" s="47" t="s">
        <v>358</v>
      </c>
      <c r="C120" s="48">
        <f>C121+C122</f>
        <v>1450.2</v>
      </c>
      <c r="D120" s="48">
        <f>D121+D122</f>
        <v>1450.2</v>
      </c>
      <c r="E120" s="17">
        <f t="shared" si="1"/>
        <v>100</v>
      </c>
    </row>
    <row r="121" spans="1:5" ht="54.75" customHeight="1">
      <c r="A121" s="39" t="s">
        <v>516</v>
      </c>
      <c r="B121" s="47" t="s">
        <v>517</v>
      </c>
      <c r="C121" s="48">
        <v>84</v>
      </c>
      <c r="D121" s="48">
        <v>84</v>
      </c>
      <c r="E121" s="17">
        <f t="shared" si="1"/>
        <v>100</v>
      </c>
    </row>
    <row r="122" spans="1:5" ht="25.5">
      <c r="A122" s="39" t="s">
        <v>518</v>
      </c>
      <c r="B122" s="47" t="s">
        <v>358</v>
      </c>
      <c r="C122" s="48">
        <v>1366.2</v>
      </c>
      <c r="D122" s="48">
        <v>1366.2</v>
      </c>
      <c r="E122" s="17">
        <f t="shared" si="1"/>
        <v>100</v>
      </c>
    </row>
    <row r="123" spans="1:5" ht="116.25" customHeight="1">
      <c r="A123" s="39" t="s">
        <v>519</v>
      </c>
      <c r="B123" s="250" t="s">
        <v>520</v>
      </c>
      <c r="C123" s="23">
        <f>C124+C127</f>
        <v>0</v>
      </c>
      <c r="D123" s="23">
        <f>D124+D127</f>
        <v>866.8</v>
      </c>
      <c r="E123" s="13">
        <v>0</v>
      </c>
    </row>
    <row r="124" spans="1:5" ht="76.5">
      <c r="A124" s="39" t="s">
        <v>521</v>
      </c>
      <c r="B124" s="47" t="s">
        <v>522</v>
      </c>
      <c r="C124" s="48">
        <f>C125</f>
        <v>0</v>
      </c>
      <c r="D124" s="48">
        <f>D125</f>
        <v>375.5</v>
      </c>
      <c r="E124" s="17">
        <v>0</v>
      </c>
    </row>
    <row r="125" spans="1:5" ht="36.75" customHeight="1">
      <c r="A125" s="39" t="s">
        <v>523</v>
      </c>
      <c r="B125" s="47" t="s">
        <v>524</v>
      </c>
      <c r="C125" s="48">
        <f>C126</f>
        <v>0</v>
      </c>
      <c r="D125" s="48">
        <f>D126</f>
        <v>375.5</v>
      </c>
      <c r="E125" s="17">
        <v>0</v>
      </c>
    </row>
    <row r="126" spans="1:5" ht="63.75">
      <c r="A126" s="39" t="s">
        <v>525</v>
      </c>
      <c r="B126" s="47" t="s">
        <v>526</v>
      </c>
      <c r="C126" s="48">
        <v>0</v>
      </c>
      <c r="D126" s="48">
        <v>375.5</v>
      </c>
      <c r="E126" s="17">
        <v>0</v>
      </c>
    </row>
    <row r="127" spans="1:5" ht="44.25" customHeight="1">
      <c r="A127" s="39" t="s">
        <v>527</v>
      </c>
      <c r="B127" s="47" t="s">
        <v>528</v>
      </c>
      <c r="C127" s="48">
        <f>C128</f>
        <v>0</v>
      </c>
      <c r="D127" s="48">
        <f>D128</f>
        <v>491.3</v>
      </c>
      <c r="E127" s="17">
        <v>0</v>
      </c>
    </row>
    <row r="128" spans="1:5" ht="38.25">
      <c r="A128" s="39" t="s">
        <v>529</v>
      </c>
      <c r="B128" s="47" t="s">
        <v>530</v>
      </c>
      <c r="C128" s="48">
        <f>C129+C130</f>
        <v>0</v>
      </c>
      <c r="D128" s="48">
        <f>D129+D130</f>
        <v>491.3</v>
      </c>
      <c r="E128" s="17">
        <v>0</v>
      </c>
    </row>
    <row r="129" spans="1:5" ht="38.25">
      <c r="A129" s="39" t="s">
        <v>531</v>
      </c>
      <c r="B129" s="47" t="s">
        <v>532</v>
      </c>
      <c r="C129" s="48">
        <v>0</v>
      </c>
      <c r="D129" s="48">
        <v>218</v>
      </c>
      <c r="E129" s="17">
        <v>0</v>
      </c>
    </row>
    <row r="130" spans="1:5" ht="38.25">
      <c r="A130" s="39" t="s">
        <v>533</v>
      </c>
      <c r="B130" s="47" t="s">
        <v>534</v>
      </c>
      <c r="C130" s="48">
        <v>0</v>
      </c>
      <c r="D130" s="48">
        <v>273.3</v>
      </c>
      <c r="E130" s="17">
        <v>0</v>
      </c>
    </row>
    <row r="131" spans="1:5" ht="60" customHeight="1">
      <c r="A131" s="39" t="s">
        <v>535</v>
      </c>
      <c r="B131" s="250" t="s">
        <v>536</v>
      </c>
      <c r="C131" s="23">
        <f>C132</f>
        <v>0</v>
      </c>
      <c r="D131" s="23">
        <f>D132</f>
        <v>-1126</v>
      </c>
      <c r="E131" s="13">
        <v>0</v>
      </c>
    </row>
    <row r="132" spans="1:5" ht="51">
      <c r="A132" s="39" t="s">
        <v>537</v>
      </c>
      <c r="B132" s="47" t="s">
        <v>538</v>
      </c>
      <c r="C132" s="48">
        <f>C133+C134</f>
        <v>0</v>
      </c>
      <c r="D132" s="48">
        <f>D133+D134</f>
        <v>-1126</v>
      </c>
      <c r="E132" s="17">
        <v>0</v>
      </c>
    </row>
    <row r="133" spans="1:5" ht="70.5" customHeight="1">
      <c r="A133" s="39" t="s">
        <v>539</v>
      </c>
      <c r="B133" s="47" t="s">
        <v>540</v>
      </c>
      <c r="C133" s="48">
        <v>0</v>
      </c>
      <c r="D133" s="48">
        <v>-157</v>
      </c>
      <c r="E133" s="17">
        <v>0</v>
      </c>
    </row>
    <row r="134" spans="1:5" ht="51">
      <c r="A134" s="39" t="s">
        <v>541</v>
      </c>
      <c r="B134" s="47" t="s">
        <v>542</v>
      </c>
      <c r="C134" s="48">
        <v>0</v>
      </c>
      <c r="D134" s="48">
        <v>-969</v>
      </c>
      <c r="E134" s="17">
        <v>0</v>
      </c>
    </row>
    <row r="135" spans="1:5" ht="15">
      <c r="A135" s="11" t="s">
        <v>165</v>
      </c>
      <c r="B135" s="29"/>
      <c r="C135" s="23">
        <f>C11+C85</f>
        <v>537593.1000000001</v>
      </c>
      <c r="D135" s="23">
        <f>D11+D85</f>
        <v>539660.5</v>
      </c>
      <c r="E135" s="12">
        <f>D135/C135*100</f>
        <v>100.38456594774001</v>
      </c>
    </row>
    <row r="136" ht="54.75" customHeight="1"/>
  </sheetData>
  <sheetProtection/>
  <mergeCells count="5">
    <mergeCell ref="A6:E6"/>
    <mergeCell ref="D1:E1"/>
    <mergeCell ref="D2:E2"/>
    <mergeCell ref="D3:E3"/>
    <mergeCell ref="D4:E4"/>
  </mergeCells>
  <printOptions/>
  <pageMargins left="1.1811023622047245" right="0.3937007874015748" top="0.7874015748031497" bottom="0.7874015748031497" header="0.31496062992125984" footer="0.31496062992125984"/>
  <pageSetup fitToHeight="0" fitToWidth="1" horizontalDpi="600" verticalDpi="600" orientation="portrait" paperSize="9" scale="89"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57"/>
  <sheetViews>
    <sheetView view="pageLayout" workbookViewId="0" topLeftCell="A22">
      <selection activeCell="C72" sqref="C72"/>
    </sheetView>
  </sheetViews>
  <sheetFormatPr defaultColWidth="9.140625" defaultRowHeight="15"/>
  <cols>
    <col min="1" max="1" width="4.7109375" style="52" customWidth="1"/>
    <col min="2" max="2" width="7.421875" style="52" customWidth="1"/>
    <col min="3" max="3" width="43.140625" style="174" customWidth="1"/>
    <col min="4" max="4" width="11.140625" style="0" customWidth="1"/>
    <col min="5" max="5" width="11.00390625" style="0" customWidth="1"/>
    <col min="6" max="6" width="9.28125" style="0" customWidth="1"/>
  </cols>
  <sheetData>
    <row r="1" spans="1:6" ht="15">
      <c r="A1" s="168"/>
      <c r="B1" s="168"/>
      <c r="C1" s="167"/>
      <c r="D1" s="166"/>
      <c r="E1" s="233" t="s">
        <v>95</v>
      </c>
      <c r="F1" s="233"/>
    </row>
    <row r="2" spans="1:6" ht="15">
      <c r="A2" s="169"/>
      <c r="B2" s="169"/>
      <c r="C2" s="173"/>
      <c r="D2" s="158"/>
      <c r="E2" s="233" t="s">
        <v>801</v>
      </c>
      <c r="F2" s="233"/>
    </row>
    <row r="3" spans="1:6" ht="15">
      <c r="A3" s="169"/>
      <c r="B3" s="169"/>
      <c r="C3" s="173"/>
      <c r="D3" s="158"/>
      <c r="E3" s="233" t="s">
        <v>802</v>
      </c>
      <c r="F3" s="233"/>
    </row>
    <row r="4" spans="1:6" ht="15">
      <c r="A4" s="169"/>
      <c r="B4" s="169"/>
      <c r="C4" s="173"/>
      <c r="D4" s="167"/>
      <c r="E4" s="234" t="s">
        <v>1005</v>
      </c>
      <c r="F4" s="234"/>
    </row>
    <row r="5" spans="1:6" ht="15">
      <c r="A5" s="169"/>
      <c r="B5" s="169"/>
      <c r="C5" s="173"/>
      <c r="D5" s="158"/>
      <c r="E5" s="158"/>
      <c r="F5" s="158"/>
    </row>
    <row r="6" spans="1:6" ht="38.25" customHeight="1">
      <c r="A6" s="235" t="s">
        <v>987</v>
      </c>
      <c r="B6" s="235"/>
      <c r="C6" s="235"/>
      <c r="D6" s="235"/>
      <c r="E6" s="235"/>
      <c r="F6" s="235"/>
    </row>
    <row r="7" spans="1:6" ht="14.25" customHeight="1">
      <c r="A7" s="227"/>
      <c r="B7" s="227"/>
      <c r="C7" s="227"/>
      <c r="D7" s="227"/>
      <c r="E7" s="227"/>
      <c r="F7" s="227"/>
    </row>
    <row r="8" spans="1:6" ht="15.75">
      <c r="A8" s="169"/>
      <c r="B8" s="169"/>
      <c r="C8" s="173"/>
      <c r="D8" s="9"/>
      <c r="E8" s="249" t="s">
        <v>1019</v>
      </c>
      <c r="F8" s="9"/>
    </row>
    <row r="9" spans="1:6" ht="38.25">
      <c r="A9" s="170" t="s">
        <v>950</v>
      </c>
      <c r="B9" s="170" t="s">
        <v>951</v>
      </c>
      <c r="C9" s="170" t="s">
        <v>952</v>
      </c>
      <c r="D9" s="202" t="s">
        <v>1018</v>
      </c>
      <c r="E9" s="244" t="s">
        <v>1015</v>
      </c>
      <c r="F9" s="202" t="s">
        <v>1020</v>
      </c>
    </row>
    <row r="10" spans="1:6" ht="15">
      <c r="A10" s="225" t="s">
        <v>1010</v>
      </c>
      <c r="B10" s="225" t="s">
        <v>1011</v>
      </c>
      <c r="C10" s="225" t="s">
        <v>1012</v>
      </c>
      <c r="D10" s="226" t="s">
        <v>806</v>
      </c>
      <c r="E10" s="226" t="s">
        <v>1013</v>
      </c>
      <c r="F10" s="226">
        <v>6</v>
      </c>
    </row>
    <row r="11" spans="1:6" ht="15">
      <c r="A11" s="171" t="s">
        <v>953</v>
      </c>
      <c r="B11" s="171" t="s">
        <v>954</v>
      </c>
      <c r="C11" s="145" t="s">
        <v>955</v>
      </c>
      <c r="D11" s="160">
        <f>D12+D13+D14+D15+D16+D17+D18+D19</f>
        <v>69787.9</v>
      </c>
      <c r="E11" s="160">
        <f>E12+E13+E14+E15+E17+E16+E18+E19</f>
        <v>67309.2</v>
      </c>
      <c r="F11" s="160">
        <f aca="true" t="shared" si="0" ref="F11:F57">E11/D11*100</f>
        <v>96.44823816162975</v>
      </c>
    </row>
    <row r="12" spans="1:6" ht="39">
      <c r="A12" s="172"/>
      <c r="B12" s="172" t="s">
        <v>1</v>
      </c>
      <c r="C12" s="110" t="s">
        <v>2</v>
      </c>
      <c r="D12" s="161">
        <v>3417.3</v>
      </c>
      <c r="E12" s="161">
        <v>3293.2</v>
      </c>
      <c r="F12" s="162">
        <f t="shared" si="0"/>
        <v>96.3684780382173</v>
      </c>
    </row>
    <row r="13" spans="1:6" ht="51.75">
      <c r="A13" s="172"/>
      <c r="B13" s="172" t="s">
        <v>5</v>
      </c>
      <c r="C13" s="110" t="s">
        <v>90</v>
      </c>
      <c r="D13" s="161">
        <v>10399.3</v>
      </c>
      <c r="E13" s="161">
        <v>10065.5</v>
      </c>
      <c r="F13" s="162">
        <f t="shared" si="0"/>
        <v>96.7901685690383</v>
      </c>
    </row>
    <row r="14" spans="1:6" ht="51.75">
      <c r="A14" s="172"/>
      <c r="B14" s="172" t="s">
        <v>12</v>
      </c>
      <c r="C14" s="110" t="s">
        <v>13</v>
      </c>
      <c r="D14" s="161">
        <v>35061</v>
      </c>
      <c r="E14" s="161">
        <v>34348.4</v>
      </c>
      <c r="F14" s="162">
        <f t="shared" si="0"/>
        <v>97.96754228344885</v>
      </c>
    </row>
    <row r="15" spans="1:6" ht="15">
      <c r="A15" s="172"/>
      <c r="B15" s="172" t="s">
        <v>176</v>
      </c>
      <c r="C15" s="110" t="s">
        <v>177</v>
      </c>
      <c r="D15" s="161">
        <v>4.7</v>
      </c>
      <c r="E15" s="161">
        <v>4.7</v>
      </c>
      <c r="F15" s="162">
        <f t="shared" si="0"/>
        <v>100</v>
      </c>
    </row>
    <row r="16" spans="1:6" ht="39">
      <c r="A16" s="172"/>
      <c r="B16" s="172" t="s">
        <v>17</v>
      </c>
      <c r="C16" s="110" t="s">
        <v>18</v>
      </c>
      <c r="D16" s="161">
        <v>12731.1</v>
      </c>
      <c r="E16" s="161">
        <v>12693.1</v>
      </c>
      <c r="F16" s="162">
        <f t="shared" si="0"/>
        <v>99.70151832913102</v>
      </c>
    </row>
    <row r="17" spans="1:6" ht="26.25" hidden="1">
      <c r="A17" s="172"/>
      <c r="B17" s="172" t="s">
        <v>956</v>
      </c>
      <c r="C17" s="110" t="s">
        <v>957</v>
      </c>
      <c r="D17" s="161">
        <v>0</v>
      </c>
      <c r="E17" s="161">
        <v>0</v>
      </c>
      <c r="F17" s="162">
        <v>0</v>
      </c>
    </row>
    <row r="18" spans="1:6" ht="15">
      <c r="A18" s="172"/>
      <c r="B18" s="172" t="s">
        <v>20</v>
      </c>
      <c r="C18" s="110" t="s">
        <v>21</v>
      </c>
      <c r="D18" s="161">
        <v>150</v>
      </c>
      <c r="E18" s="161">
        <v>0</v>
      </c>
      <c r="F18" s="162">
        <f t="shared" si="0"/>
        <v>0</v>
      </c>
    </row>
    <row r="19" spans="1:6" ht="15">
      <c r="A19" s="172"/>
      <c r="B19" s="172" t="s">
        <v>22</v>
      </c>
      <c r="C19" s="110" t="s">
        <v>23</v>
      </c>
      <c r="D19" s="161">
        <v>8024.5</v>
      </c>
      <c r="E19" s="161">
        <v>6904.3</v>
      </c>
      <c r="F19" s="162">
        <f t="shared" si="0"/>
        <v>86.0402517290797</v>
      </c>
    </row>
    <row r="20" spans="1:6" ht="26.25">
      <c r="A20" s="171" t="s">
        <v>958</v>
      </c>
      <c r="B20" s="171" t="s">
        <v>954</v>
      </c>
      <c r="C20" s="114" t="s">
        <v>959</v>
      </c>
      <c r="D20" s="159">
        <f>D22+D21+D23</f>
        <v>3778.1000000000004</v>
      </c>
      <c r="E20" s="159">
        <f>E22+E21+E23</f>
        <v>3621.8</v>
      </c>
      <c r="F20" s="160">
        <f t="shared" si="0"/>
        <v>95.862999920595</v>
      </c>
    </row>
    <row r="21" spans="1:6" ht="39" hidden="1">
      <c r="A21" s="171"/>
      <c r="B21" s="172" t="s">
        <v>960</v>
      </c>
      <c r="C21" s="110" t="s">
        <v>961</v>
      </c>
      <c r="D21" s="161">
        <v>0</v>
      </c>
      <c r="E21" s="161">
        <v>0</v>
      </c>
      <c r="F21" s="162" t="e">
        <f t="shared" si="0"/>
        <v>#DIV/0!</v>
      </c>
    </row>
    <row r="22" spans="1:6" ht="15">
      <c r="A22" s="172"/>
      <c r="B22" s="172" t="s">
        <v>707</v>
      </c>
      <c r="C22" s="110" t="s">
        <v>708</v>
      </c>
      <c r="D22" s="161">
        <v>2822.4</v>
      </c>
      <c r="E22" s="161">
        <v>2762.6</v>
      </c>
      <c r="F22" s="162">
        <f t="shared" si="0"/>
        <v>97.8812358276644</v>
      </c>
    </row>
    <row r="23" spans="1:6" ht="26.25">
      <c r="A23" s="172"/>
      <c r="B23" s="172" t="s">
        <v>362</v>
      </c>
      <c r="C23" s="110" t="s">
        <v>365</v>
      </c>
      <c r="D23" s="161">
        <v>955.7</v>
      </c>
      <c r="E23" s="163">
        <v>859.2</v>
      </c>
      <c r="F23" s="162">
        <f t="shared" si="0"/>
        <v>89.90268912838756</v>
      </c>
    </row>
    <row r="24" spans="1:6" ht="15">
      <c r="A24" s="171" t="s">
        <v>962</v>
      </c>
      <c r="B24" s="171" t="s">
        <v>954</v>
      </c>
      <c r="C24" s="114" t="s">
        <v>963</v>
      </c>
      <c r="D24" s="164">
        <f>D25+D26+D27+D28</f>
        <v>116974.79999999999</v>
      </c>
      <c r="E24" s="159">
        <f>E25+E26+E27+E28+0.1</f>
        <v>110834.1</v>
      </c>
      <c r="F24" s="160">
        <f t="shared" si="0"/>
        <v>94.75040778013728</v>
      </c>
    </row>
    <row r="25" spans="1:6" ht="15">
      <c r="A25" s="172"/>
      <c r="B25" s="172" t="s">
        <v>28</v>
      </c>
      <c r="C25" s="110" t="s">
        <v>29</v>
      </c>
      <c r="D25" s="161">
        <v>1889.7</v>
      </c>
      <c r="E25" s="161">
        <v>1003.8</v>
      </c>
      <c r="F25" s="162">
        <f t="shared" si="0"/>
        <v>53.11954278456897</v>
      </c>
    </row>
    <row r="26" spans="1:6" ht="15">
      <c r="A26" s="172"/>
      <c r="B26" s="172" t="s">
        <v>30</v>
      </c>
      <c r="C26" s="110" t="s">
        <v>31</v>
      </c>
      <c r="D26" s="161">
        <v>1100</v>
      </c>
      <c r="E26" s="161">
        <v>1100</v>
      </c>
      <c r="F26" s="162">
        <f t="shared" si="0"/>
        <v>100</v>
      </c>
    </row>
    <row r="27" spans="1:6" ht="15">
      <c r="A27" s="172"/>
      <c r="B27" s="172" t="s">
        <v>32</v>
      </c>
      <c r="C27" s="110" t="s">
        <v>33</v>
      </c>
      <c r="D27" s="161">
        <f>114675.2-1808.1</f>
        <v>112867.09999999999</v>
      </c>
      <c r="E27" s="161">
        <v>107764.9</v>
      </c>
      <c r="F27" s="162">
        <f t="shared" si="0"/>
        <v>95.4794621284679</v>
      </c>
    </row>
    <row r="28" spans="1:6" ht="26.25">
      <c r="A28" s="172"/>
      <c r="B28" s="172" t="s">
        <v>37</v>
      </c>
      <c r="C28" s="110" t="s">
        <v>38</v>
      </c>
      <c r="D28" s="161">
        <v>1118</v>
      </c>
      <c r="E28" s="161">
        <v>965.3</v>
      </c>
      <c r="F28" s="162">
        <f t="shared" si="0"/>
        <v>86.34168157423971</v>
      </c>
    </row>
    <row r="29" spans="1:6" ht="15">
      <c r="A29" s="171" t="s">
        <v>964</v>
      </c>
      <c r="B29" s="171" t="s">
        <v>954</v>
      </c>
      <c r="C29" s="114" t="s">
        <v>965</v>
      </c>
      <c r="D29" s="159">
        <f>D30+D31+D32+D33</f>
        <v>40902.6</v>
      </c>
      <c r="E29" s="159">
        <f>E30+E31+E32+E33</f>
        <v>39294.9</v>
      </c>
      <c r="F29" s="160">
        <f t="shared" si="0"/>
        <v>96.06944301829225</v>
      </c>
    </row>
    <row r="30" spans="1:6" ht="15" hidden="1">
      <c r="A30" s="172"/>
      <c r="B30" s="172" t="s">
        <v>966</v>
      </c>
      <c r="C30" s="110" t="s">
        <v>967</v>
      </c>
      <c r="D30" s="161">
        <v>0</v>
      </c>
      <c r="E30" s="161">
        <v>0</v>
      </c>
      <c r="F30" s="162">
        <v>0</v>
      </c>
    </row>
    <row r="31" spans="1:6" ht="15">
      <c r="A31" s="172"/>
      <c r="B31" s="172" t="s">
        <v>40</v>
      </c>
      <c r="C31" s="110" t="s">
        <v>41</v>
      </c>
      <c r="D31" s="161">
        <v>27049</v>
      </c>
      <c r="E31" s="161">
        <v>26078.4</v>
      </c>
      <c r="F31" s="162">
        <f t="shared" si="0"/>
        <v>96.41169729010315</v>
      </c>
    </row>
    <row r="32" spans="1:6" ht="15">
      <c r="A32" s="172"/>
      <c r="B32" s="172" t="s">
        <v>366</v>
      </c>
      <c r="C32" s="110" t="s">
        <v>367</v>
      </c>
      <c r="D32" s="161">
        <v>5672.7</v>
      </c>
      <c r="E32" s="161">
        <v>5035.7</v>
      </c>
      <c r="F32" s="162">
        <f t="shared" si="0"/>
        <v>88.77077934669558</v>
      </c>
    </row>
    <row r="33" spans="1:6" ht="26.25">
      <c r="A33" s="172"/>
      <c r="B33" s="172" t="s">
        <v>42</v>
      </c>
      <c r="C33" s="110" t="s">
        <v>43</v>
      </c>
      <c r="D33" s="161">
        <v>8180.9</v>
      </c>
      <c r="E33" s="161">
        <v>8180.8</v>
      </c>
      <c r="F33" s="162">
        <f t="shared" si="0"/>
        <v>99.9987776406019</v>
      </c>
    </row>
    <row r="34" spans="1:6" ht="15">
      <c r="A34" s="171" t="s">
        <v>968</v>
      </c>
      <c r="B34" s="171" t="s">
        <v>954</v>
      </c>
      <c r="C34" s="114" t="s">
        <v>969</v>
      </c>
      <c r="D34" s="159">
        <f>D35</f>
        <v>720.5</v>
      </c>
      <c r="E34" s="159">
        <f>E35</f>
        <v>720.5</v>
      </c>
      <c r="F34" s="160">
        <f t="shared" si="0"/>
        <v>100</v>
      </c>
    </row>
    <row r="35" spans="1:6" ht="26.25">
      <c r="A35" s="172"/>
      <c r="B35" s="172" t="s">
        <v>118</v>
      </c>
      <c r="C35" s="110" t="s">
        <v>119</v>
      </c>
      <c r="D35" s="161">
        <v>720.5</v>
      </c>
      <c r="E35" s="161">
        <v>720.5</v>
      </c>
      <c r="F35" s="162">
        <f t="shared" si="0"/>
        <v>100</v>
      </c>
    </row>
    <row r="36" spans="1:6" ht="15">
      <c r="A36" s="171" t="s">
        <v>970</v>
      </c>
      <c r="B36" s="171" t="s">
        <v>954</v>
      </c>
      <c r="C36" s="114" t="s">
        <v>971</v>
      </c>
      <c r="D36" s="159">
        <f>D37+D38+D39+D40+D41</f>
        <v>262471.49999999994</v>
      </c>
      <c r="E36" s="164">
        <f>E37+E38+E39+E40+E41</f>
        <v>247345.90000000002</v>
      </c>
      <c r="F36" s="160">
        <f t="shared" si="0"/>
        <v>94.23724099568909</v>
      </c>
    </row>
    <row r="37" spans="1:6" ht="15">
      <c r="A37" s="172"/>
      <c r="B37" s="172" t="s">
        <v>45</v>
      </c>
      <c r="C37" s="110" t="s">
        <v>46</v>
      </c>
      <c r="D37" s="161">
        <v>75338.7</v>
      </c>
      <c r="E37" s="161">
        <v>70637.3</v>
      </c>
      <c r="F37" s="162">
        <f t="shared" si="0"/>
        <v>93.75964809586574</v>
      </c>
    </row>
    <row r="38" spans="1:6" ht="15">
      <c r="A38" s="172"/>
      <c r="B38" s="172" t="s">
        <v>47</v>
      </c>
      <c r="C38" s="110" t="s">
        <v>48</v>
      </c>
      <c r="D38" s="161">
        <v>149516.9</v>
      </c>
      <c r="E38" s="161">
        <v>141671.6</v>
      </c>
      <c r="F38" s="162">
        <f t="shared" si="0"/>
        <v>94.75290084264722</v>
      </c>
    </row>
    <row r="39" spans="1:6" ht="15">
      <c r="A39" s="172"/>
      <c r="B39" s="172" t="s">
        <v>657</v>
      </c>
      <c r="C39" s="110" t="s">
        <v>658</v>
      </c>
      <c r="D39" s="161">
        <v>14775.5</v>
      </c>
      <c r="E39" s="161">
        <v>14775.5</v>
      </c>
      <c r="F39" s="162">
        <f t="shared" si="0"/>
        <v>100</v>
      </c>
    </row>
    <row r="40" spans="1:6" ht="15">
      <c r="A40" s="172"/>
      <c r="B40" s="172" t="s">
        <v>49</v>
      </c>
      <c r="C40" s="110" t="s">
        <v>972</v>
      </c>
      <c r="D40" s="161">
        <v>5955.3</v>
      </c>
      <c r="E40" s="161">
        <v>5877</v>
      </c>
      <c r="F40" s="162">
        <f t="shared" si="0"/>
        <v>98.68520477557806</v>
      </c>
    </row>
    <row r="41" spans="1:6" ht="15">
      <c r="A41" s="172"/>
      <c r="B41" s="172" t="s">
        <v>50</v>
      </c>
      <c r="C41" s="110" t="s">
        <v>51</v>
      </c>
      <c r="D41" s="161">
        <v>16885.1</v>
      </c>
      <c r="E41" s="161">
        <v>14384.5</v>
      </c>
      <c r="F41" s="162">
        <f t="shared" si="0"/>
        <v>85.1904933935837</v>
      </c>
    </row>
    <row r="42" spans="1:6" ht="15">
      <c r="A42" s="171" t="s">
        <v>973</v>
      </c>
      <c r="B42" s="171" t="s">
        <v>954</v>
      </c>
      <c r="C42" s="114" t="s">
        <v>974</v>
      </c>
      <c r="D42" s="159">
        <f>D43+D44</f>
        <v>25566.6</v>
      </c>
      <c r="E42" s="159">
        <f>E43+E44</f>
        <v>25512.5</v>
      </c>
      <c r="F42" s="160">
        <f t="shared" si="0"/>
        <v>99.78839579764224</v>
      </c>
    </row>
    <row r="43" spans="1:6" ht="15">
      <c r="A43" s="172"/>
      <c r="B43" s="172" t="s">
        <v>53</v>
      </c>
      <c r="C43" s="110" t="s">
        <v>54</v>
      </c>
      <c r="D43" s="161">
        <v>24691</v>
      </c>
      <c r="E43" s="161">
        <v>24636.9</v>
      </c>
      <c r="F43" s="162">
        <f t="shared" si="0"/>
        <v>99.78089182293144</v>
      </c>
    </row>
    <row r="44" spans="1:6" ht="26.25">
      <c r="A44" s="172"/>
      <c r="B44" s="172" t="s">
        <v>55</v>
      </c>
      <c r="C44" s="110" t="s">
        <v>56</v>
      </c>
      <c r="D44" s="161">
        <v>875.6</v>
      </c>
      <c r="E44" s="161">
        <v>875.6</v>
      </c>
      <c r="F44" s="162">
        <f t="shared" si="0"/>
        <v>100</v>
      </c>
    </row>
    <row r="45" spans="1:6" s="53" customFormat="1" ht="15">
      <c r="A45" s="171" t="s">
        <v>988</v>
      </c>
      <c r="B45" s="171"/>
      <c r="C45" s="114" t="s">
        <v>741</v>
      </c>
      <c r="D45" s="159">
        <f>D46</f>
        <v>665.9</v>
      </c>
      <c r="E45" s="159">
        <f>E46</f>
        <v>74.7</v>
      </c>
      <c r="F45" s="160">
        <f t="shared" si="0"/>
        <v>11.217900585673526</v>
      </c>
    </row>
    <row r="46" spans="1:6" ht="15">
      <c r="A46" s="172"/>
      <c r="B46" s="172" t="s">
        <v>737</v>
      </c>
      <c r="C46" s="110" t="s">
        <v>740</v>
      </c>
      <c r="D46" s="161">
        <v>665.9</v>
      </c>
      <c r="E46" s="161">
        <v>74.7</v>
      </c>
      <c r="F46" s="162">
        <f t="shared" si="0"/>
        <v>11.217900585673526</v>
      </c>
    </row>
    <row r="47" spans="1:6" ht="15">
      <c r="A47" s="171" t="s">
        <v>975</v>
      </c>
      <c r="B47" s="171" t="s">
        <v>954</v>
      </c>
      <c r="C47" s="114" t="s">
        <v>976</v>
      </c>
      <c r="D47" s="164">
        <f>D48+D49+D50</f>
        <v>23250.800000000003</v>
      </c>
      <c r="E47" s="159">
        <f>E48+E49+E50</f>
        <v>18733.4</v>
      </c>
      <c r="F47" s="160">
        <f t="shared" si="0"/>
        <v>80.57099110568238</v>
      </c>
    </row>
    <row r="48" spans="1:6" ht="15">
      <c r="A48" s="172"/>
      <c r="B48" s="172" t="s">
        <v>58</v>
      </c>
      <c r="C48" s="110" t="s">
        <v>59</v>
      </c>
      <c r="D48" s="161">
        <v>1951</v>
      </c>
      <c r="E48" s="161">
        <v>1951</v>
      </c>
      <c r="F48" s="162">
        <f t="shared" si="0"/>
        <v>100</v>
      </c>
    </row>
    <row r="49" spans="1:6" ht="15">
      <c r="A49" s="172"/>
      <c r="B49" s="172" t="s">
        <v>977</v>
      </c>
      <c r="C49" s="110" t="s">
        <v>61</v>
      </c>
      <c r="D49" s="161">
        <v>15881.4</v>
      </c>
      <c r="E49" s="161">
        <v>12827.5</v>
      </c>
      <c r="F49" s="162">
        <f t="shared" si="0"/>
        <v>80.7705869759593</v>
      </c>
    </row>
    <row r="50" spans="1:6" ht="15">
      <c r="A50" s="172"/>
      <c r="B50" s="172" t="s">
        <v>62</v>
      </c>
      <c r="C50" s="110" t="s">
        <v>978</v>
      </c>
      <c r="D50" s="161">
        <v>5418.4</v>
      </c>
      <c r="E50" s="161">
        <v>3954.9</v>
      </c>
      <c r="F50" s="162">
        <f t="shared" si="0"/>
        <v>72.99018160342537</v>
      </c>
    </row>
    <row r="51" spans="1:6" ht="15">
      <c r="A51" s="171" t="s">
        <v>979</v>
      </c>
      <c r="B51" s="171" t="s">
        <v>954</v>
      </c>
      <c r="C51" s="114" t="s">
        <v>980</v>
      </c>
      <c r="D51" s="159">
        <f>D52+D53</f>
        <v>6160.9</v>
      </c>
      <c r="E51" s="159">
        <f>E52+E53</f>
        <v>6030.6</v>
      </c>
      <c r="F51" s="160">
        <f t="shared" si="0"/>
        <v>97.88504926228312</v>
      </c>
    </row>
    <row r="52" spans="1:6" ht="15">
      <c r="A52" s="172"/>
      <c r="B52" s="172" t="s">
        <v>64</v>
      </c>
      <c r="C52" s="110" t="s">
        <v>87</v>
      </c>
      <c r="D52" s="161">
        <v>2468.1</v>
      </c>
      <c r="E52" s="161">
        <v>2337.8</v>
      </c>
      <c r="F52" s="162">
        <f t="shared" si="0"/>
        <v>94.7206353065111</v>
      </c>
    </row>
    <row r="53" spans="1:6" ht="15">
      <c r="A53" s="172"/>
      <c r="B53" s="172" t="s">
        <v>352</v>
      </c>
      <c r="C53" s="110" t="s">
        <v>353</v>
      </c>
      <c r="D53" s="161">
        <v>3692.8</v>
      </c>
      <c r="E53" s="161">
        <v>3692.8</v>
      </c>
      <c r="F53" s="162">
        <f t="shared" si="0"/>
        <v>100</v>
      </c>
    </row>
    <row r="54" spans="1:9" ht="39">
      <c r="A54" s="171" t="s">
        <v>981</v>
      </c>
      <c r="B54" s="171" t="s">
        <v>954</v>
      </c>
      <c r="C54" s="114" t="s">
        <v>982</v>
      </c>
      <c r="D54" s="159">
        <f>D55+D56</f>
        <v>42219</v>
      </c>
      <c r="E54" s="159">
        <f>E55+E56</f>
        <v>42219</v>
      </c>
      <c r="F54" s="160">
        <f t="shared" si="0"/>
        <v>100</v>
      </c>
      <c r="I54" s="192"/>
    </row>
    <row r="55" spans="1:6" ht="39">
      <c r="A55" s="172"/>
      <c r="B55" s="172" t="s">
        <v>66</v>
      </c>
      <c r="C55" s="110" t="s">
        <v>983</v>
      </c>
      <c r="D55" s="161">
        <v>42219</v>
      </c>
      <c r="E55" s="161">
        <v>42219</v>
      </c>
      <c r="F55" s="162">
        <f t="shared" si="0"/>
        <v>100</v>
      </c>
    </row>
    <row r="56" spans="1:6" ht="26.25" hidden="1">
      <c r="A56" s="172"/>
      <c r="B56" s="172" t="s">
        <v>984</v>
      </c>
      <c r="C56" s="110" t="s">
        <v>985</v>
      </c>
      <c r="D56" s="161">
        <v>0</v>
      </c>
      <c r="E56" s="161">
        <v>0</v>
      </c>
      <c r="F56" s="162">
        <v>0</v>
      </c>
    </row>
    <row r="57" spans="1:6" ht="15">
      <c r="A57" s="236" t="s">
        <v>986</v>
      </c>
      <c r="B57" s="237"/>
      <c r="C57" s="238"/>
      <c r="D57" s="165">
        <f>D11+D20+D24+D29+D34+D36+D42+D47+D51+D54+D45</f>
        <v>592498.6</v>
      </c>
      <c r="E57" s="165">
        <f>E11+E20+E24+E29+E34+E36+E42+E47+E51+E54+E45</f>
        <v>561696.6</v>
      </c>
      <c r="F57" s="160">
        <f t="shared" si="0"/>
        <v>94.80133792721197</v>
      </c>
    </row>
  </sheetData>
  <sheetProtection/>
  <mergeCells count="6">
    <mergeCell ref="A6:F6"/>
    <mergeCell ref="A57:C57"/>
    <mergeCell ref="E1:F1"/>
    <mergeCell ref="E2:F2"/>
    <mergeCell ref="E3:F3"/>
    <mergeCell ref="E4:F4"/>
  </mergeCells>
  <printOptions/>
  <pageMargins left="1.1811023622047245" right="0.3937007874015748" top="0.7874015748031497" bottom="0.7874015748031497" header="0.31496062992125984" footer="0.31496062992125984"/>
  <pageSetup fitToHeight="0" fitToWidth="1" horizontalDpi="600" verticalDpi="600" orientation="portrait" paperSize="9" scale="98"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54"/>
  <sheetViews>
    <sheetView view="pageLayout" workbookViewId="0" topLeftCell="A43">
      <selection activeCell="A33" sqref="A33"/>
    </sheetView>
  </sheetViews>
  <sheetFormatPr defaultColWidth="9.140625" defaultRowHeight="15"/>
  <cols>
    <col min="1" max="1" width="54.8515625" style="0" customWidth="1"/>
    <col min="2" max="2" width="11.140625" style="0" customWidth="1"/>
    <col min="3" max="3" width="10.7109375" style="0" customWidth="1"/>
  </cols>
  <sheetData>
    <row r="1" spans="3:4" ht="15">
      <c r="C1" s="233" t="s">
        <v>785</v>
      </c>
      <c r="D1" s="233"/>
    </row>
    <row r="2" spans="3:4" ht="15">
      <c r="C2" s="233" t="s">
        <v>801</v>
      </c>
      <c r="D2" s="233"/>
    </row>
    <row r="3" spans="3:4" ht="15">
      <c r="C3" s="233" t="s">
        <v>802</v>
      </c>
      <c r="D3" s="233"/>
    </row>
    <row r="4" spans="3:4" ht="15">
      <c r="C4" s="234" t="s">
        <v>1007</v>
      </c>
      <c r="D4" s="234"/>
    </row>
    <row r="5" ht="15">
      <c r="C5" s="3"/>
    </row>
    <row r="6" spans="1:4" ht="41.25" customHeight="1">
      <c r="A6" s="239" t="s">
        <v>989</v>
      </c>
      <c r="B6" s="239"/>
      <c r="C6" s="239"/>
      <c r="D6" s="239"/>
    </row>
    <row r="7" spans="2:4" ht="15.75">
      <c r="B7" s="9"/>
      <c r="C7" s="249" t="s">
        <v>1019</v>
      </c>
      <c r="D7" s="9"/>
    </row>
    <row r="8" spans="1:4" ht="38.25">
      <c r="A8" s="102" t="s">
        <v>755</v>
      </c>
      <c r="B8" s="202" t="s">
        <v>1018</v>
      </c>
      <c r="C8" s="244" t="s">
        <v>1015</v>
      </c>
      <c r="D8" s="202" t="s">
        <v>1020</v>
      </c>
    </row>
    <row r="9" spans="1:4" ht="15">
      <c r="A9" s="200">
        <v>1</v>
      </c>
      <c r="B9" s="55">
        <v>2</v>
      </c>
      <c r="C9" s="222">
        <v>3</v>
      </c>
      <c r="D9" s="222">
        <v>4</v>
      </c>
    </row>
    <row r="10" spans="1:4" ht="26.25">
      <c r="A10" s="180" t="s">
        <v>756</v>
      </c>
      <c r="B10" s="223">
        <f>B11+B12+B13+B14+B15</f>
        <v>274106.79000000004</v>
      </c>
      <c r="C10" s="223">
        <f>C11+C12+C13+C14+C15</f>
        <v>257566.6</v>
      </c>
      <c r="D10" s="224">
        <f aca="true" t="shared" si="0" ref="D10:D50">C10/B10*100</f>
        <v>93.96578610839956</v>
      </c>
    </row>
    <row r="11" spans="1:4" ht="15">
      <c r="A11" s="181" t="s">
        <v>1024</v>
      </c>
      <c r="B11" s="129">
        <v>37510.1</v>
      </c>
      <c r="C11" s="129">
        <v>34429.9</v>
      </c>
      <c r="D11" s="177">
        <f t="shared" si="0"/>
        <v>91.78834500574513</v>
      </c>
    </row>
    <row r="12" spans="1:4" ht="26.25">
      <c r="A12" s="181" t="s">
        <v>757</v>
      </c>
      <c r="B12" s="129">
        <v>196632.6</v>
      </c>
      <c r="C12" s="129">
        <v>185838.5</v>
      </c>
      <c r="D12" s="177">
        <f t="shared" si="0"/>
        <v>94.51052368732347</v>
      </c>
    </row>
    <row r="13" spans="1:4" ht="26.25">
      <c r="A13" s="181" t="s">
        <v>758</v>
      </c>
      <c r="B13" s="129">
        <v>15074.5</v>
      </c>
      <c r="C13" s="129">
        <v>14997.4</v>
      </c>
      <c r="D13" s="177">
        <f t="shared" si="0"/>
        <v>99.4885402500912</v>
      </c>
    </row>
    <row r="14" spans="1:4" ht="26.25">
      <c r="A14" s="181" t="s">
        <v>759</v>
      </c>
      <c r="B14" s="129">
        <v>3691.29</v>
      </c>
      <c r="C14" s="129">
        <v>3688.1</v>
      </c>
      <c r="D14" s="177">
        <f t="shared" si="0"/>
        <v>99.91358034724988</v>
      </c>
    </row>
    <row r="15" spans="1:4" ht="26.25">
      <c r="A15" s="181" t="s">
        <v>760</v>
      </c>
      <c r="B15" s="129">
        <v>21198.3</v>
      </c>
      <c r="C15" s="129">
        <v>18612.7</v>
      </c>
      <c r="D15" s="177">
        <f t="shared" si="0"/>
        <v>87.8027955071869</v>
      </c>
    </row>
    <row r="16" spans="1:4" ht="39">
      <c r="A16" s="180" t="s">
        <v>761</v>
      </c>
      <c r="B16" s="175">
        <f>B17+B18</f>
        <v>24433.9</v>
      </c>
      <c r="C16" s="175">
        <f>C17+C18</f>
        <v>24174.2</v>
      </c>
      <c r="D16" s="176">
        <f t="shared" si="0"/>
        <v>98.9371324266695</v>
      </c>
    </row>
    <row r="17" spans="1:4" ht="15">
      <c r="A17" s="181" t="s">
        <v>762</v>
      </c>
      <c r="B17" s="129">
        <v>18273</v>
      </c>
      <c r="C17" s="129">
        <v>18143.7</v>
      </c>
      <c r="D17" s="177">
        <f t="shared" si="0"/>
        <v>99.29239862091612</v>
      </c>
    </row>
    <row r="18" spans="1:4" ht="15">
      <c r="A18" s="181" t="s">
        <v>763</v>
      </c>
      <c r="B18" s="129">
        <v>6160.9</v>
      </c>
      <c r="C18" s="178">
        <v>6030.5</v>
      </c>
      <c r="D18" s="177">
        <f t="shared" si="0"/>
        <v>97.88342612280674</v>
      </c>
    </row>
    <row r="19" spans="1:4" ht="39">
      <c r="A19" s="180" t="s">
        <v>764</v>
      </c>
      <c r="B19" s="175">
        <f>B20+B21+B22</f>
        <v>5704.5</v>
      </c>
      <c r="C19" s="175">
        <f>C20+C21+C22</f>
        <v>5451.599999999999</v>
      </c>
      <c r="D19" s="176">
        <f t="shared" si="0"/>
        <v>95.56665790165658</v>
      </c>
    </row>
    <row r="20" spans="1:4" ht="26.25">
      <c r="A20" s="181" t="s">
        <v>765</v>
      </c>
      <c r="B20" s="129">
        <v>745</v>
      </c>
      <c r="C20" s="177">
        <v>510</v>
      </c>
      <c r="D20" s="177">
        <f t="shared" si="0"/>
        <v>68.45637583892618</v>
      </c>
    </row>
    <row r="21" spans="1:4" ht="26.25">
      <c r="A21" s="181" t="s">
        <v>766</v>
      </c>
      <c r="B21" s="129">
        <v>56.6</v>
      </c>
      <c r="C21" s="177">
        <v>38.7</v>
      </c>
      <c r="D21" s="177">
        <f t="shared" si="0"/>
        <v>68.37455830388693</v>
      </c>
    </row>
    <row r="22" spans="1:4" ht="26.25">
      <c r="A22" s="181" t="s">
        <v>760</v>
      </c>
      <c r="B22" s="129">
        <v>4902.9</v>
      </c>
      <c r="C22" s="129">
        <v>4902.9</v>
      </c>
      <c r="D22" s="177">
        <f t="shared" si="0"/>
        <v>100</v>
      </c>
    </row>
    <row r="23" spans="1:4" ht="26.25">
      <c r="A23" s="180" t="s">
        <v>767</v>
      </c>
      <c r="B23" s="175">
        <f>B24+B25+B26+B27</f>
        <v>133279.31999999998</v>
      </c>
      <c r="C23" s="175">
        <f>C24+C25+C26+C27</f>
        <v>127600.97</v>
      </c>
      <c r="D23" s="176">
        <f t="shared" si="0"/>
        <v>95.7395115761395</v>
      </c>
    </row>
    <row r="24" spans="1:4" ht="26.25">
      <c r="A24" s="181" t="s">
        <v>768</v>
      </c>
      <c r="B24" s="129">
        <f>109721.6-1808.1</f>
        <v>107913.5</v>
      </c>
      <c r="C24" s="129">
        <v>102811.3</v>
      </c>
      <c r="D24" s="177">
        <f t="shared" si="0"/>
        <v>95.27195392606114</v>
      </c>
    </row>
    <row r="25" spans="1:4" ht="26.25">
      <c r="A25" s="181" t="s">
        <v>769</v>
      </c>
      <c r="B25" s="129">
        <v>7979.68</v>
      </c>
      <c r="C25" s="129">
        <v>7979.68</v>
      </c>
      <c r="D25" s="177">
        <f t="shared" si="0"/>
        <v>100</v>
      </c>
    </row>
    <row r="26" spans="1:4" ht="26.25">
      <c r="A26" s="181" t="s">
        <v>760</v>
      </c>
      <c r="B26" s="129">
        <v>11920.09</v>
      </c>
      <c r="C26" s="129">
        <v>11920.09</v>
      </c>
      <c r="D26" s="177">
        <f t="shared" si="0"/>
        <v>100</v>
      </c>
    </row>
    <row r="27" spans="1:4" ht="15">
      <c r="A27" s="181" t="s">
        <v>770</v>
      </c>
      <c r="B27" s="129">
        <v>5466.05</v>
      </c>
      <c r="C27" s="129">
        <v>4889.9</v>
      </c>
      <c r="D27" s="177">
        <f t="shared" si="0"/>
        <v>89.45948170982702</v>
      </c>
    </row>
    <row r="28" spans="1:4" ht="26.25">
      <c r="A28" s="180" t="s">
        <v>771</v>
      </c>
      <c r="B28" s="175">
        <f>B29</f>
        <v>1360.7</v>
      </c>
      <c r="C28" s="175">
        <f>C29</f>
        <v>1173.1</v>
      </c>
      <c r="D28" s="176">
        <f t="shared" si="0"/>
        <v>86.21297861394869</v>
      </c>
    </row>
    <row r="29" spans="1:4" ht="15">
      <c r="A29" s="181" t="s">
        <v>772</v>
      </c>
      <c r="B29" s="129">
        <v>1360.7</v>
      </c>
      <c r="C29" s="129">
        <v>1173.1</v>
      </c>
      <c r="D29" s="177">
        <f t="shared" si="0"/>
        <v>86.21297861394869</v>
      </c>
    </row>
    <row r="30" spans="1:4" ht="31.5" customHeight="1">
      <c r="A30" s="180" t="s">
        <v>773</v>
      </c>
      <c r="B30" s="175">
        <f>B31+B32</f>
        <v>39044.01</v>
      </c>
      <c r="C30" s="175">
        <f>C31+C32</f>
        <v>38815.299999999996</v>
      </c>
      <c r="D30" s="176">
        <f t="shared" si="0"/>
        <v>99.41422512697848</v>
      </c>
    </row>
    <row r="31" spans="1:4" ht="26.25">
      <c r="A31" s="181" t="s">
        <v>1025</v>
      </c>
      <c r="B31" s="129">
        <v>927.8</v>
      </c>
      <c r="C31" s="178">
        <v>901.6</v>
      </c>
      <c r="D31" s="177">
        <f t="shared" si="0"/>
        <v>97.17611554214271</v>
      </c>
    </row>
    <row r="32" spans="1:4" ht="39">
      <c r="A32" s="181" t="s">
        <v>774</v>
      </c>
      <c r="B32" s="129">
        <v>38116.21</v>
      </c>
      <c r="C32" s="129">
        <v>37913.7</v>
      </c>
      <c r="D32" s="177">
        <f t="shared" si="0"/>
        <v>99.46870373523495</v>
      </c>
    </row>
    <row r="33" spans="1:4" ht="39">
      <c r="A33" s="180" t="s">
        <v>775</v>
      </c>
      <c r="B33" s="175">
        <f>B34+B35+B36</f>
        <v>88461.13</v>
      </c>
      <c r="C33" s="175">
        <f>C34+C35+C36</f>
        <v>86694.3</v>
      </c>
      <c r="D33" s="176">
        <f t="shared" si="0"/>
        <v>98.00270469074948</v>
      </c>
    </row>
    <row r="34" spans="1:4" ht="39">
      <c r="A34" s="181" t="s">
        <v>776</v>
      </c>
      <c r="B34" s="129">
        <v>150</v>
      </c>
      <c r="C34" s="177">
        <v>0</v>
      </c>
      <c r="D34" s="177">
        <f t="shared" si="0"/>
        <v>0</v>
      </c>
    </row>
    <row r="35" spans="1:4" ht="39">
      <c r="A35" s="181" t="s">
        <v>777</v>
      </c>
      <c r="B35" s="129">
        <v>76116.83</v>
      </c>
      <c r="C35" s="129">
        <v>74524.3</v>
      </c>
      <c r="D35" s="177">
        <f t="shared" si="0"/>
        <v>97.90778202402807</v>
      </c>
    </row>
    <row r="36" spans="1:4" ht="26.25">
      <c r="A36" s="181" t="s">
        <v>760</v>
      </c>
      <c r="B36" s="129">
        <v>12194.3</v>
      </c>
      <c r="C36" s="129">
        <v>12170</v>
      </c>
      <c r="D36" s="177">
        <f t="shared" si="0"/>
        <v>99.80072656897076</v>
      </c>
    </row>
    <row r="37" spans="1:4" ht="39">
      <c r="A37" s="180" t="s">
        <v>575</v>
      </c>
      <c r="B37" s="175">
        <f>B38+B39</f>
        <v>3549.65</v>
      </c>
      <c r="C37" s="175">
        <f>C38+C39</f>
        <v>2663.9</v>
      </c>
      <c r="D37" s="176">
        <f t="shared" si="0"/>
        <v>75.0468356035102</v>
      </c>
    </row>
    <row r="38" spans="1:4" ht="26.25">
      <c r="A38" s="181" t="s">
        <v>778</v>
      </c>
      <c r="B38" s="129">
        <v>1889.65</v>
      </c>
      <c r="C38" s="129">
        <v>1003.9</v>
      </c>
      <c r="D38" s="177">
        <f t="shared" si="0"/>
        <v>53.126240309051944</v>
      </c>
    </row>
    <row r="39" spans="1:4" ht="26.25">
      <c r="A39" s="181" t="s">
        <v>779</v>
      </c>
      <c r="B39" s="129">
        <v>1660</v>
      </c>
      <c r="C39" s="129">
        <v>1660</v>
      </c>
      <c r="D39" s="177">
        <f t="shared" si="0"/>
        <v>100</v>
      </c>
    </row>
    <row r="40" spans="1:4" ht="39">
      <c r="A40" s="180" t="s">
        <v>363</v>
      </c>
      <c r="B40" s="175">
        <f>B41+B42</f>
        <v>955.68</v>
      </c>
      <c r="C40" s="175">
        <f>C41+C42</f>
        <v>859.2</v>
      </c>
      <c r="D40" s="176">
        <f t="shared" si="0"/>
        <v>89.904570567554</v>
      </c>
    </row>
    <row r="41" spans="1:4" ht="26.25">
      <c r="A41" s="181" t="s">
        <v>780</v>
      </c>
      <c r="B41" s="129">
        <v>190</v>
      </c>
      <c r="C41" s="177">
        <v>113.5</v>
      </c>
      <c r="D41" s="177">
        <f t="shared" si="0"/>
        <v>59.73684210526316</v>
      </c>
    </row>
    <row r="42" spans="1:4" ht="26.25">
      <c r="A42" s="181" t="s">
        <v>781</v>
      </c>
      <c r="B42" s="129">
        <v>765.68</v>
      </c>
      <c r="C42" s="106">
        <v>745.7</v>
      </c>
      <c r="D42" s="177">
        <f t="shared" si="0"/>
        <v>97.39055480096125</v>
      </c>
    </row>
    <row r="43" spans="1:4" ht="39">
      <c r="A43" s="180" t="s">
        <v>782</v>
      </c>
      <c r="B43" s="175">
        <f>B44+B45</f>
        <v>3813.9</v>
      </c>
      <c r="C43" s="175">
        <f>C44+C45</f>
        <v>1870.2</v>
      </c>
      <c r="D43" s="176">
        <f t="shared" si="0"/>
        <v>49.03641941319909</v>
      </c>
    </row>
    <row r="44" spans="1:4" ht="39">
      <c r="A44" s="181" t="s">
        <v>783</v>
      </c>
      <c r="B44" s="129">
        <v>87.5</v>
      </c>
      <c r="C44" s="106">
        <v>87.5</v>
      </c>
      <c r="D44" s="177">
        <f t="shared" si="0"/>
        <v>100</v>
      </c>
    </row>
    <row r="45" spans="1:4" ht="15">
      <c r="A45" s="181" t="s">
        <v>618</v>
      </c>
      <c r="B45" s="129">
        <v>3726.4</v>
      </c>
      <c r="C45" s="129">
        <v>1782.7</v>
      </c>
      <c r="D45" s="177">
        <f t="shared" si="0"/>
        <v>47.83973808501503</v>
      </c>
    </row>
    <row r="46" spans="1:4" ht="15">
      <c r="A46" s="180" t="s">
        <v>784</v>
      </c>
      <c r="B46" s="175">
        <f>B47+B48+B49</f>
        <v>17789.059999999998</v>
      </c>
      <c r="C46" s="175">
        <f>C47+C48+C49</f>
        <v>14827.199999999999</v>
      </c>
      <c r="D46" s="176">
        <f t="shared" si="0"/>
        <v>83.3501039402869</v>
      </c>
    </row>
    <row r="47" spans="1:4" ht="26.25">
      <c r="A47" s="181" t="s">
        <v>6</v>
      </c>
      <c r="B47" s="129">
        <v>10399.3</v>
      </c>
      <c r="C47" s="129">
        <v>10065.5</v>
      </c>
      <c r="D47" s="177">
        <f t="shared" si="0"/>
        <v>96.7901685690383</v>
      </c>
    </row>
    <row r="48" spans="1:4" ht="39">
      <c r="A48" s="181" t="s">
        <v>24</v>
      </c>
      <c r="B48" s="129">
        <v>2827</v>
      </c>
      <c r="C48" s="129">
        <v>1844.8</v>
      </c>
      <c r="D48" s="177">
        <f t="shared" si="0"/>
        <v>65.25645560665015</v>
      </c>
    </row>
    <row r="49" spans="1:4" ht="39">
      <c r="A49" s="181" t="s">
        <v>74</v>
      </c>
      <c r="B49" s="129">
        <v>4562.76</v>
      </c>
      <c r="C49" s="106">
        <v>2916.9</v>
      </c>
      <c r="D49" s="177">
        <f t="shared" si="0"/>
        <v>63.92841175078242</v>
      </c>
    </row>
    <row r="50" spans="1:4" ht="15">
      <c r="A50" s="58" t="s">
        <v>91</v>
      </c>
      <c r="B50" s="179">
        <f>B10+B16+B19+B23+B28+B30+B33+B37+B40+B43+B46</f>
        <v>592498.6400000001</v>
      </c>
      <c r="C50" s="179">
        <f>C10+C16+C19+C23+C28+C30+C33+C37+C40+C43+C46</f>
        <v>561696.5699999998</v>
      </c>
      <c r="D50" s="176">
        <f t="shared" si="0"/>
        <v>94.80132646380416</v>
      </c>
    </row>
    <row r="52" spans="2:4" ht="15">
      <c r="B52" s="192"/>
      <c r="C52" s="192"/>
      <c r="D52" s="193"/>
    </row>
    <row r="54" spans="2:3" ht="15">
      <c r="B54" s="192"/>
      <c r="C54" s="192"/>
    </row>
  </sheetData>
  <sheetProtection/>
  <mergeCells count="5">
    <mergeCell ref="C3:D3"/>
    <mergeCell ref="C4:D4"/>
    <mergeCell ref="A6:D6"/>
    <mergeCell ref="C1:D1"/>
    <mergeCell ref="C2:D2"/>
  </mergeCells>
  <printOptions/>
  <pageMargins left="1.1811023622047245" right="0.3937007874015748" top="0.7874015748031497" bottom="0.7874015748031497" header="0.11811023622047245" footer="0.11811023622047245"/>
  <pageSetup fitToHeight="0" fitToWidth="1" orientation="portrait" paperSize="9" scale="99"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956"/>
  <sheetViews>
    <sheetView view="pageLayout" workbookViewId="0" topLeftCell="A953">
      <selection activeCell="G956" sqref="G956"/>
    </sheetView>
  </sheetViews>
  <sheetFormatPr defaultColWidth="9.140625" defaultRowHeight="15"/>
  <cols>
    <col min="1" max="1" width="4.28125" style="8" customWidth="1"/>
    <col min="2" max="2" width="6.57421875" style="31" customWidth="1"/>
    <col min="3" max="3" width="12.140625" style="8" customWidth="1"/>
    <col min="4" max="4" width="7.421875" style="31" customWidth="1"/>
    <col min="5" max="5" width="34.421875" style="8" customWidth="1"/>
    <col min="6" max="6" width="11.421875" style="8" customWidth="1"/>
    <col min="7" max="7" width="10.7109375" style="8" customWidth="1"/>
    <col min="8" max="8" width="10.57421875" style="8" customWidth="1"/>
    <col min="9" max="9" width="9.140625" style="7" customWidth="1"/>
    <col min="10" max="11" width="11.28125" style="7" customWidth="1"/>
    <col min="12" max="16384" width="9.140625" style="7" customWidth="1"/>
  </cols>
  <sheetData>
    <row r="1" spans="6:8" ht="15">
      <c r="F1" s="25"/>
      <c r="G1" s="233" t="s">
        <v>990</v>
      </c>
      <c r="H1" s="233"/>
    </row>
    <row r="2" spans="6:8" ht="15">
      <c r="F2" s="25" t="s">
        <v>688</v>
      </c>
      <c r="G2" s="233" t="s">
        <v>801</v>
      </c>
      <c r="H2" s="233"/>
    </row>
    <row r="3" spans="6:8" ht="15">
      <c r="F3" s="25" t="s">
        <v>689</v>
      </c>
      <c r="G3" s="233" t="s">
        <v>802</v>
      </c>
      <c r="H3" s="233"/>
    </row>
    <row r="4" spans="6:8" ht="13.5" customHeight="1">
      <c r="F4" s="24" t="s">
        <v>689</v>
      </c>
      <c r="G4" s="234" t="s">
        <v>1008</v>
      </c>
      <c r="H4" s="234"/>
    </row>
    <row r="5" spans="6:7" ht="13.5" customHeight="1">
      <c r="F5" s="24"/>
      <c r="G5" s="24"/>
    </row>
    <row r="6" spans="1:8" ht="42.75" customHeight="1">
      <c r="A6" s="254" t="s">
        <v>794</v>
      </c>
      <c r="B6" s="254"/>
      <c r="C6" s="254"/>
      <c r="D6" s="254"/>
      <c r="E6" s="254"/>
      <c r="F6" s="254"/>
      <c r="G6" s="254"/>
      <c r="H6" s="254"/>
    </row>
    <row r="7" spans="1:8" ht="16.5" customHeight="1">
      <c r="A7" s="255"/>
      <c r="B7" s="255"/>
      <c r="C7" s="255"/>
      <c r="D7" s="255"/>
      <c r="E7" s="255"/>
      <c r="F7" s="255"/>
      <c r="G7" s="255"/>
      <c r="H7" s="255"/>
    </row>
    <row r="8" spans="1:8" ht="16.5" customHeight="1">
      <c r="A8" s="228"/>
      <c r="B8" s="228"/>
      <c r="C8" s="228"/>
      <c r="D8" s="228"/>
      <c r="E8" s="228"/>
      <c r="F8" s="9"/>
      <c r="G8" s="249" t="s">
        <v>1019</v>
      </c>
      <c r="H8" s="9"/>
    </row>
    <row r="9" spans="1:8" ht="39.75" customHeight="1">
      <c r="A9" s="26" t="s">
        <v>1022</v>
      </c>
      <c r="B9" s="26" t="s">
        <v>359</v>
      </c>
      <c r="C9" s="26" t="s">
        <v>360</v>
      </c>
      <c r="D9" s="26" t="s">
        <v>361</v>
      </c>
      <c r="E9" s="26" t="s">
        <v>67</v>
      </c>
      <c r="F9" s="202" t="s">
        <v>1018</v>
      </c>
      <c r="G9" s="244" t="s">
        <v>1015</v>
      </c>
      <c r="H9" s="202" t="s">
        <v>1020</v>
      </c>
    </row>
    <row r="10" spans="1:8" ht="18" customHeight="1">
      <c r="A10" s="26">
        <v>1</v>
      </c>
      <c r="B10" s="26">
        <v>2</v>
      </c>
      <c r="C10" s="26">
        <v>3</v>
      </c>
      <c r="D10" s="26">
        <v>4</v>
      </c>
      <c r="E10" s="26">
        <v>5</v>
      </c>
      <c r="F10" s="202">
        <v>6</v>
      </c>
      <c r="G10" s="244" t="s">
        <v>1021</v>
      </c>
      <c r="H10" s="256">
        <v>8</v>
      </c>
    </row>
    <row r="11" spans="1:8" ht="38.25">
      <c r="A11" s="63">
        <v>621</v>
      </c>
      <c r="B11" s="50"/>
      <c r="C11" s="50"/>
      <c r="D11" s="50"/>
      <c r="E11" s="64" t="s">
        <v>723</v>
      </c>
      <c r="F11" s="260">
        <f>F12</f>
        <v>3115.4</v>
      </c>
      <c r="G11" s="260">
        <f>G12</f>
        <v>2781.6</v>
      </c>
      <c r="H11" s="261">
        <f aca="true" t="shared" si="0" ref="H11:H74">G11/F11*100</f>
        <v>89.28548500995056</v>
      </c>
    </row>
    <row r="12" spans="1:8" ht="14.25" customHeight="1">
      <c r="A12" s="50"/>
      <c r="B12" s="65" t="s">
        <v>0</v>
      </c>
      <c r="C12" s="65"/>
      <c r="D12" s="65"/>
      <c r="E12" s="66" t="s">
        <v>168</v>
      </c>
      <c r="F12" s="219">
        <f>F13+F22</f>
        <v>3115.4</v>
      </c>
      <c r="G12" s="219">
        <f>G13+G22</f>
        <v>2781.6</v>
      </c>
      <c r="H12" s="185">
        <f t="shared" si="0"/>
        <v>89.28548500995056</v>
      </c>
    </row>
    <row r="13" spans="1:8" ht="63.75">
      <c r="A13" s="50"/>
      <c r="B13" s="65" t="s">
        <v>5</v>
      </c>
      <c r="C13" s="50"/>
      <c r="D13" s="50"/>
      <c r="E13" s="67" t="s">
        <v>90</v>
      </c>
      <c r="F13" s="215">
        <f>F15+F17</f>
        <v>3113.5</v>
      </c>
      <c r="G13" s="215">
        <f>G15+G17</f>
        <v>2779.7</v>
      </c>
      <c r="H13" s="62">
        <f t="shared" si="0"/>
        <v>89.27894652320539</v>
      </c>
    </row>
    <row r="14" spans="1:8" ht="40.5" customHeight="1">
      <c r="A14" s="50"/>
      <c r="B14" s="65"/>
      <c r="C14" s="65" t="s">
        <v>324</v>
      </c>
      <c r="D14" s="49"/>
      <c r="E14" s="68" t="s">
        <v>6</v>
      </c>
      <c r="F14" s="215">
        <f>F15+F17</f>
        <v>3113.5</v>
      </c>
      <c r="G14" s="215">
        <f>G15+G17</f>
        <v>2779.7</v>
      </c>
      <c r="H14" s="62">
        <f t="shared" si="0"/>
        <v>89.27894652320539</v>
      </c>
    </row>
    <row r="15" spans="1:8" ht="30.75" customHeight="1">
      <c r="A15" s="50"/>
      <c r="B15" s="50"/>
      <c r="C15" s="65" t="s">
        <v>325</v>
      </c>
      <c r="D15" s="50"/>
      <c r="E15" s="66" t="s">
        <v>10</v>
      </c>
      <c r="F15" s="215">
        <f>F16</f>
        <v>189.1</v>
      </c>
      <c r="G15" s="215">
        <f>G16</f>
        <v>189.1</v>
      </c>
      <c r="H15" s="62">
        <f t="shared" si="0"/>
        <v>100</v>
      </c>
    </row>
    <row r="16" spans="1:8" ht="75.75" customHeight="1">
      <c r="A16" s="50"/>
      <c r="B16" s="50"/>
      <c r="C16" s="65"/>
      <c r="D16" s="65" t="s">
        <v>4</v>
      </c>
      <c r="E16" s="66" t="s">
        <v>114</v>
      </c>
      <c r="F16" s="215">
        <v>189.1</v>
      </c>
      <c r="G16" s="215">
        <v>189.1</v>
      </c>
      <c r="H16" s="62">
        <f t="shared" si="0"/>
        <v>100</v>
      </c>
    </row>
    <row r="17" spans="1:8" ht="25.5">
      <c r="A17" s="50"/>
      <c r="B17" s="50"/>
      <c r="C17" s="65" t="s">
        <v>327</v>
      </c>
      <c r="D17" s="65"/>
      <c r="E17" s="66" t="s">
        <v>174</v>
      </c>
      <c r="F17" s="215">
        <f>F18+F19+F20+F21</f>
        <v>2924.4</v>
      </c>
      <c r="G17" s="215">
        <f>G18+G19+G20+G21</f>
        <v>2590.6</v>
      </c>
      <c r="H17" s="62">
        <f t="shared" si="0"/>
        <v>88.58569279168375</v>
      </c>
    </row>
    <row r="18" spans="1:8" ht="78" customHeight="1">
      <c r="A18" s="50"/>
      <c r="B18" s="50"/>
      <c r="C18" s="50"/>
      <c r="D18" s="65" t="s">
        <v>4</v>
      </c>
      <c r="E18" s="66" t="s">
        <v>114</v>
      </c>
      <c r="F18" s="215">
        <v>2530</v>
      </c>
      <c r="G18" s="215">
        <v>2523.1</v>
      </c>
      <c r="H18" s="62">
        <f t="shared" si="0"/>
        <v>99.72727272727272</v>
      </c>
    </row>
    <row r="19" spans="1:8" ht="40.5" customHeight="1">
      <c r="A19" s="50"/>
      <c r="B19" s="50"/>
      <c r="C19" s="50"/>
      <c r="D19" s="69" t="s">
        <v>7</v>
      </c>
      <c r="E19" s="66" t="s">
        <v>549</v>
      </c>
      <c r="F19" s="215">
        <v>81.4</v>
      </c>
      <c r="G19" s="215">
        <v>67.5</v>
      </c>
      <c r="H19" s="62">
        <f t="shared" si="0"/>
        <v>82.92383292383292</v>
      </c>
    </row>
    <row r="20" spans="1:8" ht="25.5">
      <c r="A20" s="50"/>
      <c r="B20" s="50"/>
      <c r="C20" s="50"/>
      <c r="D20" s="70" t="s">
        <v>14</v>
      </c>
      <c r="E20" s="71" t="s">
        <v>15</v>
      </c>
      <c r="F20" s="215">
        <v>312.2</v>
      </c>
      <c r="G20" s="215">
        <v>0</v>
      </c>
      <c r="H20" s="62">
        <f t="shared" si="0"/>
        <v>0</v>
      </c>
    </row>
    <row r="21" spans="1:8" ht="15">
      <c r="A21" s="50"/>
      <c r="B21" s="50"/>
      <c r="C21" s="50"/>
      <c r="D21" s="65" t="s">
        <v>8</v>
      </c>
      <c r="E21" s="66" t="s">
        <v>9</v>
      </c>
      <c r="F21" s="215">
        <v>0.8</v>
      </c>
      <c r="G21" s="215">
        <v>0</v>
      </c>
      <c r="H21" s="62">
        <f t="shared" si="0"/>
        <v>0</v>
      </c>
    </row>
    <row r="22" spans="1:8" ht="15">
      <c r="A22" s="50"/>
      <c r="B22" s="65" t="s">
        <v>22</v>
      </c>
      <c r="C22" s="50"/>
      <c r="D22" s="50"/>
      <c r="E22" s="72" t="s">
        <v>23</v>
      </c>
      <c r="F22" s="215">
        <f aca="true" t="shared" si="1" ref="F22:G24">F23</f>
        <v>1.9</v>
      </c>
      <c r="G22" s="215">
        <f t="shared" si="1"/>
        <v>1.9</v>
      </c>
      <c r="H22" s="62">
        <f t="shared" si="0"/>
        <v>100</v>
      </c>
    </row>
    <row r="23" spans="1:8" ht="27.75" customHeight="1">
      <c r="A23" s="50"/>
      <c r="B23" s="50"/>
      <c r="C23" s="65" t="s">
        <v>208</v>
      </c>
      <c r="D23" s="49"/>
      <c r="E23" s="68" t="s">
        <v>24</v>
      </c>
      <c r="F23" s="215">
        <f t="shared" si="1"/>
        <v>1.9</v>
      </c>
      <c r="G23" s="215">
        <f t="shared" si="1"/>
        <v>1.9</v>
      </c>
      <c r="H23" s="62">
        <f t="shared" si="0"/>
        <v>100</v>
      </c>
    </row>
    <row r="24" spans="1:8" ht="38.25" customHeight="1">
      <c r="A24" s="50"/>
      <c r="B24" s="50"/>
      <c r="C24" s="65" t="s">
        <v>328</v>
      </c>
      <c r="D24" s="50"/>
      <c r="E24" s="68" t="s">
        <v>25</v>
      </c>
      <c r="F24" s="215">
        <f t="shared" si="1"/>
        <v>1.9</v>
      </c>
      <c r="G24" s="215">
        <f t="shared" si="1"/>
        <v>1.9</v>
      </c>
      <c r="H24" s="62">
        <f t="shared" si="0"/>
        <v>100</v>
      </c>
    </row>
    <row r="25" spans="1:8" ht="42" customHeight="1">
      <c r="A25" s="50"/>
      <c r="B25" s="50"/>
      <c r="C25" s="50"/>
      <c r="D25" s="69" t="s">
        <v>7</v>
      </c>
      <c r="E25" s="66" t="s">
        <v>549</v>
      </c>
      <c r="F25" s="215">
        <v>1.9</v>
      </c>
      <c r="G25" s="215">
        <v>1.9</v>
      </c>
      <c r="H25" s="62">
        <f t="shared" si="0"/>
        <v>100</v>
      </c>
    </row>
    <row r="26" spans="1:8" ht="42.75" customHeight="1">
      <c r="A26" s="63">
        <v>622</v>
      </c>
      <c r="B26" s="50"/>
      <c r="C26" s="50"/>
      <c r="D26" s="50"/>
      <c r="E26" s="64" t="s">
        <v>724</v>
      </c>
      <c r="F26" s="216">
        <f>F27+F82+F126+F141+F148+F157+F162+F179</f>
        <v>51355.50000000001</v>
      </c>
      <c r="G26" s="216">
        <f>G27+G82+G126+G141+G148+G157+G162+G179</f>
        <v>42704.700000000004</v>
      </c>
      <c r="H26" s="56">
        <f t="shared" si="0"/>
        <v>83.15506615649736</v>
      </c>
    </row>
    <row r="27" spans="1:8" ht="15">
      <c r="A27" s="50"/>
      <c r="B27" s="65" t="s">
        <v>0</v>
      </c>
      <c r="C27" s="65"/>
      <c r="D27" s="65"/>
      <c r="E27" s="66" t="s">
        <v>168</v>
      </c>
      <c r="F27" s="215">
        <f>F28+F66</f>
        <v>14086.1</v>
      </c>
      <c r="G27" s="215">
        <f>G28+G66</f>
        <v>13682.4</v>
      </c>
      <c r="H27" s="62">
        <f t="shared" si="0"/>
        <v>97.13405413847693</v>
      </c>
    </row>
    <row r="28" spans="1:8" ht="75.75" customHeight="1">
      <c r="A28" s="50"/>
      <c r="B28" s="65" t="s">
        <v>12</v>
      </c>
      <c r="C28" s="50"/>
      <c r="D28" s="50"/>
      <c r="E28" s="67" t="s">
        <v>13</v>
      </c>
      <c r="F28" s="215">
        <f>F29+F41+F63</f>
        <v>13694.1</v>
      </c>
      <c r="G28" s="215">
        <f>G29+G41+G63</f>
        <v>13358.5</v>
      </c>
      <c r="H28" s="62">
        <f t="shared" si="0"/>
        <v>97.5493095566704</v>
      </c>
    </row>
    <row r="29" spans="1:8" ht="51">
      <c r="A29" s="50"/>
      <c r="B29" s="65"/>
      <c r="C29" s="65" t="s">
        <v>202</v>
      </c>
      <c r="D29" s="49"/>
      <c r="E29" s="68" t="s">
        <v>543</v>
      </c>
      <c r="F29" s="215">
        <f>F30</f>
        <v>245.9</v>
      </c>
      <c r="G29" s="215">
        <f>G30</f>
        <v>126.5</v>
      </c>
      <c r="H29" s="62">
        <f t="shared" si="0"/>
        <v>51.44367629117528</v>
      </c>
    </row>
    <row r="30" spans="1:8" ht="27.75" customHeight="1">
      <c r="A30" s="50"/>
      <c r="B30" s="65"/>
      <c r="C30" s="65" t="s">
        <v>210</v>
      </c>
      <c r="D30" s="65"/>
      <c r="E30" s="66" t="s">
        <v>544</v>
      </c>
      <c r="F30" s="215">
        <f>F31+F38</f>
        <v>245.9</v>
      </c>
      <c r="G30" s="215">
        <f>G31+G38</f>
        <v>126.5</v>
      </c>
      <c r="H30" s="62">
        <f t="shared" si="0"/>
        <v>51.44367629117528</v>
      </c>
    </row>
    <row r="31" spans="1:8" ht="38.25">
      <c r="A31" s="50"/>
      <c r="B31" s="65"/>
      <c r="C31" s="65" t="s">
        <v>545</v>
      </c>
      <c r="D31" s="69"/>
      <c r="E31" s="73" t="s">
        <v>546</v>
      </c>
      <c r="F31" s="215">
        <f>+F32+F34+F36</f>
        <v>110.80000000000001</v>
      </c>
      <c r="G31" s="215">
        <f>+G32+G34+G36</f>
        <v>34.1</v>
      </c>
      <c r="H31" s="62">
        <f t="shared" si="0"/>
        <v>30.776173285198556</v>
      </c>
    </row>
    <row r="32" spans="1:8" ht="38.25">
      <c r="A32" s="50"/>
      <c r="B32" s="65"/>
      <c r="C32" s="65" t="s">
        <v>547</v>
      </c>
      <c r="D32" s="65"/>
      <c r="E32" s="66" t="s">
        <v>548</v>
      </c>
      <c r="F32" s="215">
        <f>F33</f>
        <v>67.5</v>
      </c>
      <c r="G32" s="215">
        <f>G33</f>
        <v>19.6</v>
      </c>
      <c r="H32" s="62">
        <f t="shared" si="0"/>
        <v>29.037037037037038</v>
      </c>
    </row>
    <row r="33" spans="1:8" ht="42" customHeight="1">
      <c r="A33" s="50"/>
      <c r="B33" s="65"/>
      <c r="C33" s="65"/>
      <c r="D33" s="69" t="s">
        <v>7</v>
      </c>
      <c r="E33" s="66" t="s">
        <v>549</v>
      </c>
      <c r="F33" s="215">
        <v>67.5</v>
      </c>
      <c r="G33" s="215">
        <v>19.6</v>
      </c>
      <c r="H33" s="62">
        <f t="shared" si="0"/>
        <v>29.037037037037038</v>
      </c>
    </row>
    <row r="34" spans="1:8" ht="25.5">
      <c r="A34" s="50"/>
      <c r="B34" s="65"/>
      <c r="C34" s="65" t="s">
        <v>550</v>
      </c>
      <c r="D34" s="65"/>
      <c r="E34" s="66" t="s">
        <v>551</v>
      </c>
      <c r="F34" s="215">
        <f>F35</f>
        <v>4.4</v>
      </c>
      <c r="G34" s="215">
        <f>G35</f>
        <v>0</v>
      </c>
      <c r="H34" s="62">
        <f t="shared" si="0"/>
        <v>0</v>
      </c>
    </row>
    <row r="35" spans="1:8" ht="39" customHeight="1">
      <c r="A35" s="50"/>
      <c r="B35" s="65"/>
      <c r="C35" s="65"/>
      <c r="D35" s="69" t="s">
        <v>7</v>
      </c>
      <c r="E35" s="66" t="s">
        <v>549</v>
      </c>
      <c r="F35" s="215">
        <v>4.4</v>
      </c>
      <c r="G35" s="215">
        <v>0</v>
      </c>
      <c r="H35" s="62">
        <f t="shared" si="0"/>
        <v>0</v>
      </c>
    </row>
    <row r="36" spans="1:8" ht="39.75" customHeight="1">
      <c r="A36" s="50"/>
      <c r="B36" s="65"/>
      <c r="C36" s="65" t="s">
        <v>552</v>
      </c>
      <c r="D36" s="65"/>
      <c r="E36" s="66" t="s">
        <v>553</v>
      </c>
      <c r="F36" s="215">
        <f>F37</f>
        <v>38.9</v>
      </c>
      <c r="G36" s="215">
        <f>G37</f>
        <v>14.5</v>
      </c>
      <c r="H36" s="62">
        <f t="shared" si="0"/>
        <v>37.275064267352185</v>
      </c>
    </row>
    <row r="37" spans="1:8" ht="39" customHeight="1">
      <c r="A37" s="50"/>
      <c r="B37" s="65"/>
      <c r="C37" s="65"/>
      <c r="D37" s="69" t="s">
        <v>7</v>
      </c>
      <c r="E37" s="66" t="s">
        <v>549</v>
      </c>
      <c r="F37" s="215">
        <v>38.9</v>
      </c>
      <c r="G37" s="215">
        <v>14.5</v>
      </c>
      <c r="H37" s="62">
        <f t="shared" si="0"/>
        <v>37.275064267352185</v>
      </c>
    </row>
    <row r="38" spans="1:8" ht="42.75" customHeight="1">
      <c r="A38" s="50"/>
      <c r="B38" s="65"/>
      <c r="C38" s="65" t="s">
        <v>554</v>
      </c>
      <c r="D38" s="65"/>
      <c r="E38" s="66" t="s">
        <v>555</v>
      </c>
      <c r="F38" s="215">
        <f>F39</f>
        <v>135.1</v>
      </c>
      <c r="G38" s="215">
        <f>G39</f>
        <v>92.4</v>
      </c>
      <c r="H38" s="62">
        <f t="shared" si="0"/>
        <v>68.3937823834197</v>
      </c>
    </row>
    <row r="39" spans="1:8" ht="31.5" customHeight="1">
      <c r="A39" s="50"/>
      <c r="B39" s="65"/>
      <c r="C39" s="65" t="s">
        <v>556</v>
      </c>
      <c r="D39" s="65"/>
      <c r="E39" s="66" t="s">
        <v>557</v>
      </c>
      <c r="F39" s="215">
        <f>F40</f>
        <v>135.1</v>
      </c>
      <c r="G39" s="215">
        <f>G40</f>
        <v>92.4</v>
      </c>
      <c r="H39" s="62">
        <f t="shared" si="0"/>
        <v>68.3937823834197</v>
      </c>
    </row>
    <row r="40" spans="1:8" ht="39.75" customHeight="1">
      <c r="A40" s="50"/>
      <c r="B40" s="65"/>
      <c r="C40" s="65"/>
      <c r="D40" s="69" t="s">
        <v>7</v>
      </c>
      <c r="E40" s="66" t="s">
        <v>549</v>
      </c>
      <c r="F40" s="215">
        <v>135.1</v>
      </c>
      <c r="G40" s="215">
        <v>92.4</v>
      </c>
      <c r="H40" s="62">
        <f t="shared" si="0"/>
        <v>68.3937823834197</v>
      </c>
    </row>
    <row r="41" spans="1:8" ht="25.5" customHeight="1">
      <c r="A41" s="50"/>
      <c r="B41" s="65"/>
      <c r="C41" s="65" t="s">
        <v>169</v>
      </c>
      <c r="D41" s="49"/>
      <c r="E41" s="68" t="s">
        <v>68</v>
      </c>
      <c r="F41" s="215">
        <f>F42</f>
        <v>13434.5</v>
      </c>
      <c r="G41" s="215">
        <f>G42</f>
        <v>13232</v>
      </c>
      <c r="H41" s="62">
        <f t="shared" si="0"/>
        <v>98.49268673936507</v>
      </c>
    </row>
    <row r="42" spans="1:8" ht="53.25" customHeight="1">
      <c r="A42" s="50"/>
      <c r="B42" s="65"/>
      <c r="C42" s="65" t="s">
        <v>170</v>
      </c>
      <c r="D42" s="65"/>
      <c r="E42" s="66" t="s">
        <v>690</v>
      </c>
      <c r="F42" s="215">
        <f>F43</f>
        <v>13434.5</v>
      </c>
      <c r="G42" s="215">
        <f>G43</f>
        <v>13232</v>
      </c>
      <c r="H42" s="62">
        <f t="shared" si="0"/>
        <v>98.49268673936507</v>
      </c>
    </row>
    <row r="43" spans="1:8" ht="41.25" customHeight="1">
      <c r="A43" s="50"/>
      <c r="B43" s="65"/>
      <c r="C43" s="65" t="s">
        <v>171</v>
      </c>
      <c r="D43" s="69"/>
      <c r="E43" s="73" t="s">
        <v>691</v>
      </c>
      <c r="F43" s="215">
        <f>F44+F51+F53+F57+F59+F61+F49+F55</f>
        <v>13434.5</v>
      </c>
      <c r="G43" s="215">
        <f>G44+G51+G53+G57+G59+G61+G49+G55</f>
        <v>13232</v>
      </c>
      <c r="H43" s="62">
        <f t="shared" si="0"/>
        <v>98.49268673936507</v>
      </c>
    </row>
    <row r="44" spans="1:8" ht="27.75" customHeight="1">
      <c r="A44" s="50"/>
      <c r="B44" s="65"/>
      <c r="C44" s="65" t="s">
        <v>173</v>
      </c>
      <c r="D44" s="65"/>
      <c r="E44" s="66" t="s">
        <v>174</v>
      </c>
      <c r="F44" s="215">
        <f>F45+F46+F47+F48</f>
        <v>12802.9</v>
      </c>
      <c r="G44" s="215">
        <f>G45+G46+G47+G48</f>
        <v>12622.5</v>
      </c>
      <c r="H44" s="62">
        <f t="shared" si="0"/>
        <v>98.5909442391958</v>
      </c>
    </row>
    <row r="45" spans="1:8" ht="77.25" customHeight="1">
      <c r="A45" s="50"/>
      <c r="B45" s="65"/>
      <c r="C45" s="50"/>
      <c r="D45" s="65" t="s">
        <v>4</v>
      </c>
      <c r="E45" s="66" t="s">
        <v>114</v>
      </c>
      <c r="F45" s="215">
        <v>10839</v>
      </c>
      <c r="G45" s="215">
        <v>10839</v>
      </c>
      <c r="H45" s="62">
        <f t="shared" si="0"/>
        <v>100</v>
      </c>
    </row>
    <row r="46" spans="1:8" ht="39.75" customHeight="1">
      <c r="A46" s="50"/>
      <c r="B46" s="65"/>
      <c r="C46" s="50"/>
      <c r="D46" s="69" t="s">
        <v>7</v>
      </c>
      <c r="E46" s="66" t="s">
        <v>549</v>
      </c>
      <c r="F46" s="215">
        <v>1398</v>
      </c>
      <c r="G46" s="215">
        <v>1227</v>
      </c>
      <c r="H46" s="62">
        <f t="shared" si="0"/>
        <v>87.76824034334764</v>
      </c>
    </row>
    <row r="47" spans="1:8" ht="27.75" customHeight="1">
      <c r="A47" s="50"/>
      <c r="B47" s="65"/>
      <c r="C47" s="50"/>
      <c r="D47" s="70" t="s">
        <v>14</v>
      </c>
      <c r="E47" s="71" t="s">
        <v>15</v>
      </c>
      <c r="F47" s="215">
        <v>435.6</v>
      </c>
      <c r="G47" s="215">
        <v>435.6</v>
      </c>
      <c r="H47" s="62">
        <f t="shared" si="0"/>
        <v>100</v>
      </c>
    </row>
    <row r="48" spans="1:8" ht="17.25" customHeight="1">
      <c r="A48" s="50"/>
      <c r="B48" s="65"/>
      <c r="C48" s="50"/>
      <c r="D48" s="65" t="s">
        <v>8</v>
      </c>
      <c r="E48" s="66" t="s">
        <v>9</v>
      </c>
      <c r="F48" s="215">
        <v>130.3</v>
      </c>
      <c r="G48" s="215">
        <v>120.9</v>
      </c>
      <c r="H48" s="62">
        <f t="shared" si="0"/>
        <v>92.78587874136608</v>
      </c>
    </row>
    <row r="49" spans="1:8" ht="63.75">
      <c r="A49" s="50"/>
      <c r="B49" s="65"/>
      <c r="C49" s="65" t="s">
        <v>991</v>
      </c>
      <c r="D49" s="65"/>
      <c r="E49" s="66" t="s">
        <v>16</v>
      </c>
      <c r="F49" s="215">
        <f>F50</f>
        <v>72.4</v>
      </c>
      <c r="G49" s="215">
        <f>G50</f>
        <v>72.4</v>
      </c>
      <c r="H49" s="62">
        <f t="shared" si="0"/>
        <v>100</v>
      </c>
    </row>
    <row r="50" spans="1:8" ht="78" customHeight="1">
      <c r="A50" s="50"/>
      <c r="B50" s="65"/>
      <c r="C50" s="65"/>
      <c r="D50" s="65" t="s">
        <v>4</v>
      </c>
      <c r="E50" s="66" t="s">
        <v>114</v>
      </c>
      <c r="F50" s="215">
        <v>72.4</v>
      </c>
      <c r="G50" s="215">
        <v>72.4</v>
      </c>
      <c r="H50" s="62">
        <f t="shared" si="0"/>
        <v>100</v>
      </c>
    </row>
    <row r="51" spans="1:8" ht="25.5" customHeight="1">
      <c r="A51" s="50"/>
      <c r="B51" s="65"/>
      <c r="C51" s="65" t="s">
        <v>692</v>
      </c>
      <c r="D51" s="65"/>
      <c r="E51" s="66" t="s">
        <v>693</v>
      </c>
      <c r="F51" s="215">
        <f>F52</f>
        <v>1.6999999999999997</v>
      </c>
      <c r="G51" s="215">
        <f>G52</f>
        <v>0</v>
      </c>
      <c r="H51" s="62">
        <f t="shared" si="0"/>
        <v>0</v>
      </c>
    </row>
    <row r="52" spans="1:8" ht="42" customHeight="1">
      <c r="A52" s="50"/>
      <c r="B52" s="65"/>
      <c r="C52" s="50"/>
      <c r="D52" s="69" t="s">
        <v>7</v>
      </c>
      <c r="E52" s="66" t="s">
        <v>549</v>
      </c>
      <c r="F52" s="215">
        <f>3.3-1.6</f>
        <v>1.6999999999999997</v>
      </c>
      <c r="G52" s="215">
        <v>0</v>
      </c>
      <c r="H52" s="62">
        <f t="shared" si="0"/>
        <v>0</v>
      </c>
    </row>
    <row r="53" spans="1:8" ht="39.75" customHeight="1">
      <c r="A53" s="50"/>
      <c r="B53" s="65"/>
      <c r="C53" s="65" t="s">
        <v>564</v>
      </c>
      <c r="D53" s="65"/>
      <c r="E53" s="66" t="s">
        <v>344</v>
      </c>
      <c r="F53" s="215">
        <f>F54</f>
        <v>10.900000000000006</v>
      </c>
      <c r="G53" s="215">
        <f>G54</f>
        <v>0</v>
      </c>
      <c r="H53" s="62">
        <f t="shared" si="0"/>
        <v>0</v>
      </c>
    </row>
    <row r="54" spans="1:8" ht="78" customHeight="1">
      <c r="A54" s="50"/>
      <c r="B54" s="65"/>
      <c r="C54" s="65"/>
      <c r="D54" s="65" t="s">
        <v>4</v>
      </c>
      <c r="E54" s="66" t="s">
        <v>114</v>
      </c>
      <c r="F54" s="215">
        <f>43.7-32.8</f>
        <v>10.900000000000006</v>
      </c>
      <c r="G54" s="215">
        <v>0</v>
      </c>
      <c r="H54" s="62">
        <f t="shared" si="0"/>
        <v>0</v>
      </c>
    </row>
    <row r="55" spans="1:8" ht="38.25">
      <c r="A55" s="50"/>
      <c r="B55" s="65"/>
      <c r="C55" s="65" t="s">
        <v>563</v>
      </c>
      <c r="D55" s="65"/>
      <c r="E55" s="66" t="s">
        <v>992</v>
      </c>
      <c r="F55" s="215">
        <f>F56</f>
        <v>331.7</v>
      </c>
      <c r="G55" s="215">
        <f>G56</f>
        <v>331.7</v>
      </c>
      <c r="H55" s="62">
        <f t="shared" si="0"/>
        <v>100</v>
      </c>
    </row>
    <row r="56" spans="1:8" ht="78" customHeight="1">
      <c r="A56" s="50"/>
      <c r="B56" s="65"/>
      <c r="C56" s="65"/>
      <c r="D56" s="65" t="s">
        <v>4</v>
      </c>
      <c r="E56" s="66" t="s">
        <v>114</v>
      </c>
      <c r="F56" s="215">
        <v>331.7</v>
      </c>
      <c r="G56" s="215">
        <v>331.7</v>
      </c>
      <c r="H56" s="62">
        <f t="shared" si="0"/>
        <v>100</v>
      </c>
    </row>
    <row r="57" spans="1:8" ht="79.5" customHeight="1">
      <c r="A57" s="50"/>
      <c r="B57" s="65"/>
      <c r="C57" s="65" t="s">
        <v>560</v>
      </c>
      <c r="D57" s="65"/>
      <c r="E57" s="66" t="s">
        <v>694</v>
      </c>
      <c r="F57" s="215">
        <f>F58</f>
        <v>0.19999999999999998</v>
      </c>
      <c r="G57" s="215">
        <f>G58</f>
        <v>0.1</v>
      </c>
      <c r="H57" s="62">
        <f t="shared" si="0"/>
        <v>50.000000000000014</v>
      </c>
    </row>
    <row r="58" spans="1:8" ht="38.25" customHeight="1">
      <c r="A58" s="50"/>
      <c r="B58" s="65"/>
      <c r="C58" s="50"/>
      <c r="D58" s="69" t="s">
        <v>7</v>
      </c>
      <c r="E58" s="66" t="s">
        <v>549</v>
      </c>
      <c r="F58" s="215">
        <f>0.3-0.1</f>
        <v>0.19999999999999998</v>
      </c>
      <c r="G58" s="215">
        <v>0.1</v>
      </c>
      <c r="H58" s="62">
        <f t="shared" si="0"/>
        <v>50.000000000000014</v>
      </c>
    </row>
    <row r="59" spans="1:8" ht="75.75" customHeight="1">
      <c r="A59" s="50"/>
      <c r="B59" s="65"/>
      <c r="C59" s="65" t="s">
        <v>561</v>
      </c>
      <c r="D59" s="65"/>
      <c r="E59" s="66" t="s">
        <v>695</v>
      </c>
      <c r="F59" s="215">
        <f>F60</f>
        <v>9.4</v>
      </c>
      <c r="G59" s="215">
        <f>G60</f>
        <v>0</v>
      </c>
      <c r="H59" s="62">
        <f t="shared" si="0"/>
        <v>0</v>
      </c>
    </row>
    <row r="60" spans="1:8" ht="38.25" customHeight="1">
      <c r="A60" s="50"/>
      <c r="B60" s="65"/>
      <c r="C60" s="65"/>
      <c r="D60" s="65" t="s">
        <v>4</v>
      </c>
      <c r="E60" s="66" t="s">
        <v>114</v>
      </c>
      <c r="F60" s="215">
        <v>9.4</v>
      </c>
      <c r="G60" s="215">
        <v>0</v>
      </c>
      <c r="H60" s="62">
        <f t="shared" si="0"/>
        <v>0</v>
      </c>
    </row>
    <row r="61" spans="1:8" ht="50.25" customHeight="1">
      <c r="A61" s="50"/>
      <c r="B61" s="50"/>
      <c r="C61" s="65" t="s">
        <v>562</v>
      </c>
      <c r="D61" s="65"/>
      <c r="E61" s="66" t="s">
        <v>696</v>
      </c>
      <c r="F61" s="215">
        <f>F62</f>
        <v>205.3</v>
      </c>
      <c r="G61" s="215">
        <f>G62</f>
        <v>205.3</v>
      </c>
      <c r="H61" s="62">
        <f t="shared" si="0"/>
        <v>100</v>
      </c>
    </row>
    <row r="62" spans="1:8" ht="80.25" customHeight="1">
      <c r="A62" s="50"/>
      <c r="B62" s="50"/>
      <c r="C62" s="65"/>
      <c r="D62" s="65" t="s">
        <v>4</v>
      </c>
      <c r="E62" s="66" t="s">
        <v>114</v>
      </c>
      <c r="F62" s="215">
        <f>502.2-296.9</f>
        <v>205.3</v>
      </c>
      <c r="G62" s="215">
        <v>205.3</v>
      </c>
      <c r="H62" s="62">
        <f t="shared" si="0"/>
        <v>100</v>
      </c>
    </row>
    <row r="63" spans="1:8" ht="41.25" customHeight="1">
      <c r="A63" s="50"/>
      <c r="B63" s="50"/>
      <c r="C63" s="74" t="s">
        <v>178</v>
      </c>
      <c r="D63" s="65"/>
      <c r="E63" s="66" t="s">
        <v>74</v>
      </c>
      <c r="F63" s="215">
        <f>F64</f>
        <v>13.699999999999996</v>
      </c>
      <c r="G63" s="215">
        <f>G64</f>
        <v>0</v>
      </c>
      <c r="H63" s="62">
        <f t="shared" si="0"/>
        <v>0</v>
      </c>
    </row>
    <row r="64" spans="1:8" ht="90" customHeight="1">
      <c r="A64" s="50"/>
      <c r="B64" s="50"/>
      <c r="C64" s="74" t="s">
        <v>565</v>
      </c>
      <c r="D64" s="65"/>
      <c r="E64" s="66" t="s">
        <v>566</v>
      </c>
      <c r="F64" s="215">
        <f>F65</f>
        <v>13.699999999999996</v>
      </c>
      <c r="G64" s="215">
        <f>G65</f>
        <v>0</v>
      </c>
      <c r="H64" s="62">
        <f t="shared" si="0"/>
        <v>0</v>
      </c>
    </row>
    <row r="65" spans="1:8" ht="51.75" customHeight="1">
      <c r="A65" s="50"/>
      <c r="B65" s="50"/>
      <c r="C65" s="74"/>
      <c r="D65" s="65" t="s">
        <v>4</v>
      </c>
      <c r="E65" s="66" t="s">
        <v>114</v>
      </c>
      <c r="F65" s="215">
        <f>54.8-41.1</f>
        <v>13.699999999999996</v>
      </c>
      <c r="G65" s="215">
        <v>0</v>
      </c>
      <c r="H65" s="62">
        <f t="shared" si="0"/>
        <v>0</v>
      </c>
    </row>
    <row r="66" spans="1:8" ht="15">
      <c r="A66" s="50"/>
      <c r="B66" s="65" t="s">
        <v>22</v>
      </c>
      <c r="C66" s="50"/>
      <c r="D66" s="65"/>
      <c r="E66" s="72" t="s">
        <v>23</v>
      </c>
      <c r="F66" s="215">
        <f>F67+F72+F79</f>
        <v>392</v>
      </c>
      <c r="G66" s="215">
        <f>G67+G72+G79</f>
        <v>323.9</v>
      </c>
      <c r="H66" s="62">
        <f t="shared" si="0"/>
        <v>82.62755102040815</v>
      </c>
    </row>
    <row r="67" spans="1:8" ht="51">
      <c r="A67" s="50"/>
      <c r="B67" s="50"/>
      <c r="C67" s="65" t="s">
        <v>169</v>
      </c>
      <c r="D67" s="49"/>
      <c r="E67" s="68" t="s">
        <v>68</v>
      </c>
      <c r="F67" s="215">
        <f aca="true" t="shared" si="2" ref="F67:G70">F68</f>
        <v>28.8</v>
      </c>
      <c r="G67" s="215">
        <f t="shared" si="2"/>
        <v>2.5</v>
      </c>
      <c r="H67" s="62">
        <f t="shared" si="0"/>
        <v>8.680555555555555</v>
      </c>
    </row>
    <row r="68" spans="1:8" ht="42" customHeight="1">
      <c r="A68" s="50"/>
      <c r="B68" s="50"/>
      <c r="C68" s="65" t="s">
        <v>203</v>
      </c>
      <c r="D68" s="50"/>
      <c r="E68" s="66" t="s">
        <v>700</v>
      </c>
      <c r="F68" s="215">
        <f t="shared" si="2"/>
        <v>28.8</v>
      </c>
      <c r="G68" s="215">
        <f t="shared" si="2"/>
        <v>2.5</v>
      </c>
      <c r="H68" s="62">
        <f t="shared" si="0"/>
        <v>8.680555555555555</v>
      </c>
    </row>
    <row r="69" spans="1:8" ht="39.75" customHeight="1">
      <c r="A69" s="50"/>
      <c r="B69" s="50"/>
      <c r="C69" s="65" t="s">
        <v>204</v>
      </c>
      <c r="D69" s="65"/>
      <c r="E69" s="66" t="s">
        <v>701</v>
      </c>
      <c r="F69" s="215">
        <f t="shared" si="2"/>
        <v>28.8</v>
      </c>
      <c r="G69" s="215">
        <f t="shared" si="2"/>
        <v>2.5</v>
      </c>
      <c r="H69" s="62">
        <f t="shared" si="0"/>
        <v>8.680555555555555</v>
      </c>
    </row>
    <row r="70" spans="1:8" ht="63.75">
      <c r="A70" s="50"/>
      <c r="B70" s="50"/>
      <c r="C70" s="65" t="s">
        <v>205</v>
      </c>
      <c r="D70" s="65"/>
      <c r="E70" s="66" t="s">
        <v>70</v>
      </c>
      <c r="F70" s="215">
        <f t="shared" si="2"/>
        <v>28.8</v>
      </c>
      <c r="G70" s="215">
        <f t="shared" si="2"/>
        <v>2.5</v>
      </c>
      <c r="H70" s="62">
        <f t="shared" si="0"/>
        <v>8.680555555555555</v>
      </c>
    </row>
    <row r="71" spans="1:8" ht="37.5" customHeight="1">
      <c r="A71" s="50"/>
      <c r="B71" s="50"/>
      <c r="C71" s="65"/>
      <c r="D71" s="69" t="s">
        <v>7</v>
      </c>
      <c r="E71" s="66" t="s">
        <v>549</v>
      </c>
      <c r="F71" s="215">
        <v>28.8</v>
      </c>
      <c r="G71" s="215">
        <v>2.5</v>
      </c>
      <c r="H71" s="62">
        <f t="shared" si="0"/>
        <v>8.680555555555555</v>
      </c>
    </row>
    <row r="72" spans="1:8" ht="51" customHeight="1">
      <c r="A72" s="50"/>
      <c r="B72" s="50"/>
      <c r="C72" s="65" t="s">
        <v>208</v>
      </c>
      <c r="D72" s="49"/>
      <c r="E72" s="68" t="s">
        <v>24</v>
      </c>
      <c r="F72" s="215">
        <f>F73+F75+F77</f>
        <v>91.8</v>
      </c>
      <c r="G72" s="215">
        <f>G73+G75+G77</f>
        <v>50</v>
      </c>
      <c r="H72" s="62">
        <f t="shared" si="0"/>
        <v>54.46623093681917</v>
      </c>
    </row>
    <row r="73" spans="1:8" ht="24.75" customHeight="1">
      <c r="A73" s="50"/>
      <c r="B73" s="50"/>
      <c r="C73" s="65" t="s">
        <v>567</v>
      </c>
      <c r="D73" s="50"/>
      <c r="E73" s="68" t="s">
        <v>568</v>
      </c>
      <c r="F73" s="215">
        <f>F74</f>
        <v>19.7</v>
      </c>
      <c r="G73" s="215">
        <f>G74</f>
        <v>18.9</v>
      </c>
      <c r="H73" s="62">
        <f t="shared" si="0"/>
        <v>95.93908629441624</v>
      </c>
    </row>
    <row r="74" spans="1:8" ht="39" customHeight="1">
      <c r="A74" s="50"/>
      <c r="B74" s="50"/>
      <c r="C74" s="50"/>
      <c r="D74" s="69" t="s">
        <v>7</v>
      </c>
      <c r="E74" s="66" t="s">
        <v>549</v>
      </c>
      <c r="F74" s="215">
        <v>19.7</v>
      </c>
      <c r="G74" s="215">
        <v>18.9</v>
      </c>
      <c r="H74" s="62">
        <f t="shared" si="0"/>
        <v>95.93908629441624</v>
      </c>
    </row>
    <row r="75" spans="1:8" ht="38.25">
      <c r="A75" s="50"/>
      <c r="B75" s="50"/>
      <c r="C75" s="75" t="s">
        <v>725</v>
      </c>
      <c r="D75" s="69"/>
      <c r="E75" s="66" t="s">
        <v>726</v>
      </c>
      <c r="F75" s="215">
        <f>F76</f>
        <v>27.1</v>
      </c>
      <c r="G75" s="215">
        <f>G76</f>
        <v>27.1</v>
      </c>
      <c r="H75" s="62">
        <f aca="true" t="shared" si="3" ref="H75:H141">G75/F75*100</f>
        <v>100</v>
      </c>
    </row>
    <row r="76" spans="1:8" ht="39" customHeight="1">
      <c r="A76" s="50"/>
      <c r="B76" s="50"/>
      <c r="C76" s="50"/>
      <c r="D76" s="69" t="s">
        <v>7</v>
      </c>
      <c r="E76" s="66" t="s">
        <v>549</v>
      </c>
      <c r="F76" s="215">
        <v>27.1</v>
      </c>
      <c r="G76" s="215">
        <v>27.1</v>
      </c>
      <c r="H76" s="62">
        <f t="shared" si="3"/>
        <v>100</v>
      </c>
    </row>
    <row r="77" spans="1:8" ht="15">
      <c r="A77" s="50"/>
      <c r="B77" s="50"/>
      <c r="C77" s="65" t="s">
        <v>587</v>
      </c>
      <c r="D77" s="65"/>
      <c r="E77" s="66" t="s">
        <v>588</v>
      </c>
      <c r="F77" s="215">
        <f>F78</f>
        <v>45</v>
      </c>
      <c r="G77" s="215">
        <f>G78</f>
        <v>4</v>
      </c>
      <c r="H77" s="62">
        <f t="shared" si="3"/>
        <v>8.88888888888889</v>
      </c>
    </row>
    <row r="78" spans="1:8" ht="39.75" customHeight="1">
      <c r="A78" s="50"/>
      <c r="B78" s="50"/>
      <c r="C78" s="65"/>
      <c r="D78" s="69" t="s">
        <v>7</v>
      </c>
      <c r="E78" s="66" t="s">
        <v>549</v>
      </c>
      <c r="F78" s="215">
        <v>45</v>
      </c>
      <c r="G78" s="217">
        <v>4</v>
      </c>
      <c r="H78" s="62">
        <f t="shared" si="3"/>
        <v>8.88888888888889</v>
      </c>
    </row>
    <row r="79" spans="1:8" ht="63.75">
      <c r="A79" s="50"/>
      <c r="B79" s="50"/>
      <c r="C79" s="74" t="s">
        <v>178</v>
      </c>
      <c r="D79" s="65"/>
      <c r="E79" s="66" t="s">
        <v>74</v>
      </c>
      <c r="F79" s="215">
        <f>F80</f>
        <v>271.4</v>
      </c>
      <c r="G79" s="215">
        <f>G80</f>
        <v>271.4</v>
      </c>
      <c r="H79" s="62">
        <f t="shared" si="3"/>
        <v>100</v>
      </c>
    </row>
    <row r="80" spans="1:8" ht="25.5">
      <c r="A80" s="50"/>
      <c r="B80" s="50"/>
      <c r="C80" s="74" t="s">
        <v>207</v>
      </c>
      <c r="D80" s="76"/>
      <c r="E80" s="73" t="s">
        <v>120</v>
      </c>
      <c r="F80" s="215">
        <f>F81</f>
        <v>271.4</v>
      </c>
      <c r="G80" s="215">
        <f>G81</f>
        <v>271.4</v>
      </c>
      <c r="H80" s="62">
        <f t="shared" si="3"/>
        <v>100</v>
      </c>
    </row>
    <row r="81" spans="1:8" ht="79.5" customHeight="1">
      <c r="A81" s="50"/>
      <c r="B81" s="50"/>
      <c r="C81" s="74"/>
      <c r="D81" s="65" t="s">
        <v>4</v>
      </c>
      <c r="E81" s="66" t="s">
        <v>114</v>
      </c>
      <c r="F81" s="215">
        <f>215.2+51.4+4.8</f>
        <v>271.4</v>
      </c>
      <c r="G81" s="215">
        <v>271.4</v>
      </c>
      <c r="H81" s="62">
        <f t="shared" si="3"/>
        <v>100</v>
      </c>
    </row>
    <row r="82" spans="1:8" ht="16.5" customHeight="1">
      <c r="A82" s="50"/>
      <c r="B82" s="65" t="s">
        <v>27</v>
      </c>
      <c r="C82" s="50"/>
      <c r="D82" s="50"/>
      <c r="E82" s="66" t="s">
        <v>72</v>
      </c>
      <c r="F82" s="215">
        <f>F83+F93+F99+F118</f>
        <v>23946.9</v>
      </c>
      <c r="G82" s="215">
        <f>G83+G93+G99+G118</f>
        <v>17958.9</v>
      </c>
      <c r="H82" s="62">
        <f t="shared" si="3"/>
        <v>74.99467572003057</v>
      </c>
    </row>
    <row r="83" spans="1:8" ht="15">
      <c r="A83" s="50"/>
      <c r="B83" s="65" t="s">
        <v>28</v>
      </c>
      <c r="C83" s="50"/>
      <c r="D83" s="50"/>
      <c r="E83" s="72" t="s">
        <v>29</v>
      </c>
      <c r="F83" s="215">
        <f aca="true" t="shared" si="4" ref="F83:G85">F84</f>
        <v>885.8</v>
      </c>
      <c r="G83" s="215">
        <f t="shared" si="4"/>
        <v>0</v>
      </c>
      <c r="H83" s="62">
        <f t="shared" si="3"/>
        <v>0</v>
      </c>
    </row>
    <row r="84" spans="1:8" ht="51">
      <c r="A84" s="50"/>
      <c r="B84" s="65"/>
      <c r="C84" s="65" t="s">
        <v>269</v>
      </c>
      <c r="D84" s="65"/>
      <c r="E84" s="66" t="s">
        <v>575</v>
      </c>
      <c r="F84" s="218">
        <f t="shared" si="4"/>
        <v>885.8</v>
      </c>
      <c r="G84" s="218">
        <f t="shared" si="4"/>
        <v>0</v>
      </c>
      <c r="H84" s="62">
        <f t="shared" si="3"/>
        <v>0</v>
      </c>
    </row>
    <row r="85" spans="1:8" ht="26.25" customHeight="1">
      <c r="A85" s="50"/>
      <c r="B85" s="65"/>
      <c r="C85" s="65" t="s">
        <v>273</v>
      </c>
      <c r="D85" s="65"/>
      <c r="E85" s="66" t="s">
        <v>576</v>
      </c>
      <c r="F85" s="218">
        <f t="shared" si="4"/>
        <v>885.8</v>
      </c>
      <c r="G85" s="218">
        <f t="shared" si="4"/>
        <v>0</v>
      </c>
      <c r="H85" s="62">
        <f t="shared" si="3"/>
        <v>0</v>
      </c>
    </row>
    <row r="86" spans="1:8" ht="51">
      <c r="A86" s="50"/>
      <c r="B86" s="65"/>
      <c r="C86" s="65" t="s">
        <v>274</v>
      </c>
      <c r="D86" s="65"/>
      <c r="E86" s="66" t="s">
        <v>209</v>
      </c>
      <c r="F86" s="218">
        <f>F87+F89+F91</f>
        <v>885.8</v>
      </c>
      <c r="G86" s="218">
        <f>G87+G89+G91</f>
        <v>0</v>
      </c>
      <c r="H86" s="62">
        <f t="shared" si="3"/>
        <v>0</v>
      </c>
    </row>
    <row r="87" spans="1:8" ht="76.5">
      <c r="A87" s="50"/>
      <c r="B87" s="65"/>
      <c r="C87" s="65" t="s">
        <v>577</v>
      </c>
      <c r="D87" s="65"/>
      <c r="E87" s="66" t="s">
        <v>578</v>
      </c>
      <c r="F87" s="218">
        <f>F88</f>
        <v>750</v>
      </c>
      <c r="G87" s="218">
        <f>G88</f>
        <v>0</v>
      </c>
      <c r="H87" s="62">
        <f t="shared" si="3"/>
        <v>0</v>
      </c>
    </row>
    <row r="88" spans="1:8" ht="18" customHeight="1">
      <c r="A88" s="50"/>
      <c r="B88" s="65"/>
      <c r="C88" s="65"/>
      <c r="D88" s="74">
        <v>800</v>
      </c>
      <c r="E88" s="73" t="s">
        <v>9</v>
      </c>
      <c r="F88" s="215">
        <v>750</v>
      </c>
      <c r="G88" s="215">
        <v>0</v>
      </c>
      <c r="H88" s="62">
        <f t="shared" si="3"/>
        <v>0</v>
      </c>
    </row>
    <row r="89" spans="1:8" ht="66" customHeight="1">
      <c r="A89" s="50"/>
      <c r="B89" s="65"/>
      <c r="C89" s="65" t="s">
        <v>579</v>
      </c>
      <c r="D89" s="65"/>
      <c r="E89" s="66" t="s">
        <v>580</v>
      </c>
      <c r="F89" s="218">
        <f>F90</f>
        <v>1.9</v>
      </c>
      <c r="G89" s="218">
        <f>G90</f>
        <v>0</v>
      </c>
      <c r="H89" s="62">
        <f t="shared" si="3"/>
        <v>0</v>
      </c>
    </row>
    <row r="90" spans="1:8" ht="15">
      <c r="A90" s="50"/>
      <c r="B90" s="65"/>
      <c r="C90" s="50"/>
      <c r="D90" s="65" t="s">
        <v>8</v>
      </c>
      <c r="E90" s="66" t="s">
        <v>9</v>
      </c>
      <c r="F90" s="218">
        <v>1.9</v>
      </c>
      <c r="G90" s="215">
        <v>0</v>
      </c>
      <c r="H90" s="62">
        <f t="shared" si="3"/>
        <v>0</v>
      </c>
    </row>
    <row r="91" spans="1:8" ht="39.75" customHeight="1">
      <c r="A91" s="50"/>
      <c r="B91" s="65"/>
      <c r="C91" s="65" t="s">
        <v>581</v>
      </c>
      <c r="D91" s="65"/>
      <c r="E91" s="66" t="s">
        <v>582</v>
      </c>
      <c r="F91" s="218">
        <f>F92</f>
        <v>133.9</v>
      </c>
      <c r="G91" s="218">
        <f>G92</f>
        <v>0</v>
      </c>
      <c r="H91" s="62">
        <f t="shared" si="3"/>
        <v>0</v>
      </c>
    </row>
    <row r="92" spans="1:8" ht="15">
      <c r="A92" s="50"/>
      <c r="B92" s="65"/>
      <c r="C92" s="50"/>
      <c r="D92" s="65" t="s">
        <v>8</v>
      </c>
      <c r="E92" s="66" t="s">
        <v>9</v>
      </c>
      <c r="F92" s="215">
        <v>133.9</v>
      </c>
      <c r="G92" s="215">
        <v>0</v>
      </c>
      <c r="H92" s="62">
        <f t="shared" si="3"/>
        <v>0</v>
      </c>
    </row>
    <row r="93" spans="1:8" ht="16.5" customHeight="1">
      <c r="A93" s="50"/>
      <c r="B93" s="65" t="s">
        <v>30</v>
      </c>
      <c r="C93" s="50"/>
      <c r="D93" s="65"/>
      <c r="E93" s="72" t="s">
        <v>31</v>
      </c>
      <c r="F93" s="215">
        <f aca="true" t="shared" si="5" ref="F93:G97">F94</f>
        <v>644.9</v>
      </c>
      <c r="G93" s="215">
        <f t="shared" si="5"/>
        <v>644.9</v>
      </c>
      <c r="H93" s="62">
        <f t="shared" si="3"/>
        <v>100</v>
      </c>
    </row>
    <row r="94" spans="1:8" ht="54" customHeight="1">
      <c r="A94" s="50"/>
      <c r="B94" s="50"/>
      <c r="C94" s="65" t="s">
        <v>269</v>
      </c>
      <c r="D94" s="65"/>
      <c r="E94" s="66" t="s">
        <v>575</v>
      </c>
      <c r="F94" s="215">
        <f t="shared" si="5"/>
        <v>644.9</v>
      </c>
      <c r="G94" s="215">
        <f t="shared" si="5"/>
        <v>644.9</v>
      </c>
      <c r="H94" s="62">
        <f t="shared" si="3"/>
        <v>100</v>
      </c>
    </row>
    <row r="95" spans="1:8" ht="38.25">
      <c r="A95" s="50"/>
      <c r="B95" s="50"/>
      <c r="C95" s="65" t="s">
        <v>583</v>
      </c>
      <c r="D95" s="50"/>
      <c r="E95" s="66" t="s">
        <v>584</v>
      </c>
      <c r="F95" s="215">
        <f t="shared" si="5"/>
        <v>644.9</v>
      </c>
      <c r="G95" s="215">
        <f t="shared" si="5"/>
        <v>644.9</v>
      </c>
      <c r="H95" s="62">
        <f t="shared" si="3"/>
        <v>100</v>
      </c>
    </row>
    <row r="96" spans="1:8" ht="24.75" customHeight="1">
      <c r="A96" s="50"/>
      <c r="B96" s="50"/>
      <c r="C96" s="65" t="s">
        <v>585</v>
      </c>
      <c r="D96" s="76"/>
      <c r="E96" s="73" t="s">
        <v>211</v>
      </c>
      <c r="F96" s="215">
        <f t="shared" si="5"/>
        <v>644.9</v>
      </c>
      <c r="G96" s="215">
        <f t="shared" si="5"/>
        <v>644.9</v>
      </c>
      <c r="H96" s="62">
        <f t="shared" si="3"/>
        <v>100</v>
      </c>
    </row>
    <row r="97" spans="1:14" ht="40.5" customHeight="1">
      <c r="A97" s="50"/>
      <c r="B97" s="50"/>
      <c r="C97" s="65" t="s">
        <v>586</v>
      </c>
      <c r="D97" s="65"/>
      <c r="E97" s="66" t="s">
        <v>212</v>
      </c>
      <c r="F97" s="215">
        <f t="shared" si="5"/>
        <v>644.9</v>
      </c>
      <c r="G97" s="215">
        <f t="shared" si="5"/>
        <v>644.9</v>
      </c>
      <c r="H97" s="62">
        <f t="shared" si="3"/>
        <v>100</v>
      </c>
      <c r="J97" s="187"/>
      <c r="K97" s="187"/>
      <c r="L97" s="187"/>
      <c r="M97" s="188"/>
      <c r="N97" s="8"/>
    </row>
    <row r="98" spans="1:14" ht="15">
      <c r="A98" s="50"/>
      <c r="B98" s="50"/>
      <c r="C98" s="65"/>
      <c r="D98" s="65" t="s">
        <v>8</v>
      </c>
      <c r="E98" s="66" t="s">
        <v>9</v>
      </c>
      <c r="F98" s="215">
        <v>644.9</v>
      </c>
      <c r="G98" s="215">
        <v>644.9</v>
      </c>
      <c r="H98" s="62">
        <f t="shared" si="3"/>
        <v>100</v>
      </c>
      <c r="J98" s="8"/>
      <c r="K98" s="8"/>
      <c r="L98" s="8"/>
      <c r="M98" s="8"/>
      <c r="N98" s="8"/>
    </row>
    <row r="99" spans="1:14" ht="15">
      <c r="A99" s="50"/>
      <c r="B99" s="182" t="s">
        <v>32</v>
      </c>
      <c r="C99" s="183"/>
      <c r="D99" s="182"/>
      <c r="E99" s="184" t="s">
        <v>33</v>
      </c>
      <c r="F99" s="219">
        <f>F100</f>
        <v>22108.3</v>
      </c>
      <c r="G99" s="219">
        <f>G100</f>
        <v>17006.1</v>
      </c>
      <c r="H99" s="185">
        <f t="shared" si="3"/>
        <v>76.92178955414934</v>
      </c>
      <c r="J99" s="189"/>
      <c r="K99" s="189"/>
      <c r="L99" s="189"/>
      <c r="M99" s="8"/>
      <c r="N99" s="8"/>
    </row>
    <row r="100" spans="1:14" ht="38.25">
      <c r="A100" s="50"/>
      <c r="B100" s="50"/>
      <c r="C100" s="65" t="s">
        <v>213</v>
      </c>
      <c r="D100" s="49"/>
      <c r="E100" s="68" t="s">
        <v>214</v>
      </c>
      <c r="F100" s="215">
        <f>F101+F114</f>
        <v>22108.3</v>
      </c>
      <c r="G100" s="215">
        <f>G101+G114+G111</f>
        <v>17006.1</v>
      </c>
      <c r="H100" s="62">
        <f t="shared" si="3"/>
        <v>76.92178955414934</v>
      </c>
      <c r="J100" s="8"/>
      <c r="K100" s="8"/>
      <c r="L100" s="8"/>
      <c r="M100" s="190"/>
      <c r="N100" s="8"/>
    </row>
    <row r="101" spans="1:14" ht="38.25">
      <c r="A101" s="50"/>
      <c r="B101" s="50"/>
      <c r="C101" s="65" t="s">
        <v>215</v>
      </c>
      <c r="D101" s="50"/>
      <c r="E101" s="66" t="s">
        <v>216</v>
      </c>
      <c r="F101" s="215">
        <f>F102</f>
        <v>21472.8</v>
      </c>
      <c r="G101" s="215">
        <f>G102</f>
        <v>17405.6</v>
      </c>
      <c r="H101" s="62">
        <f t="shared" si="3"/>
        <v>81.05882791252188</v>
      </c>
      <c r="J101" s="191"/>
      <c r="K101" s="191"/>
      <c r="L101" s="191"/>
      <c r="M101" s="8"/>
      <c r="N101" s="8"/>
    </row>
    <row r="102" spans="1:8" ht="51">
      <c r="A102" s="50"/>
      <c r="B102" s="50"/>
      <c r="C102" s="65" t="s">
        <v>217</v>
      </c>
      <c r="D102" s="50"/>
      <c r="E102" s="66" t="s">
        <v>218</v>
      </c>
      <c r="F102" s="215">
        <f>F103+F105+F107+F109</f>
        <v>21472.8</v>
      </c>
      <c r="G102" s="215">
        <f>G103+G105+G107+G109</f>
        <v>17405.6</v>
      </c>
      <c r="H102" s="62">
        <f t="shared" si="3"/>
        <v>81.05882791252188</v>
      </c>
    </row>
    <row r="103" spans="1:8" ht="30.75" customHeight="1">
      <c r="A103" s="50"/>
      <c r="B103" s="50"/>
      <c r="C103" s="65" t="s">
        <v>219</v>
      </c>
      <c r="D103" s="50"/>
      <c r="E103" s="66" t="s">
        <v>220</v>
      </c>
      <c r="F103" s="215">
        <f>F104</f>
        <v>7292.5</v>
      </c>
      <c r="G103" s="215">
        <f>G104</f>
        <v>6934.6</v>
      </c>
      <c r="H103" s="62">
        <f t="shared" si="3"/>
        <v>95.09221803222489</v>
      </c>
    </row>
    <row r="104" spans="1:8" ht="39.75" customHeight="1">
      <c r="A104" s="50"/>
      <c r="B104" s="50"/>
      <c r="C104" s="65"/>
      <c r="D104" s="69" t="s">
        <v>35</v>
      </c>
      <c r="E104" s="73" t="s">
        <v>36</v>
      </c>
      <c r="F104" s="215">
        <v>7292.5</v>
      </c>
      <c r="G104" s="215">
        <v>6934.6</v>
      </c>
      <c r="H104" s="62">
        <f t="shared" si="3"/>
        <v>95.09221803222489</v>
      </c>
    </row>
    <row r="105" spans="1:8" ht="27.75" customHeight="1">
      <c r="A105" s="50"/>
      <c r="B105" s="50"/>
      <c r="C105" s="75" t="s">
        <v>347</v>
      </c>
      <c r="D105" s="77"/>
      <c r="E105" s="78" t="s">
        <v>348</v>
      </c>
      <c r="F105" s="215">
        <f>F106</f>
        <v>4451.1</v>
      </c>
      <c r="G105" s="215">
        <f>G106</f>
        <v>3983.7</v>
      </c>
      <c r="H105" s="62">
        <f t="shared" si="3"/>
        <v>89.49922491069621</v>
      </c>
    </row>
    <row r="106" spans="1:8" ht="39.75" customHeight="1">
      <c r="A106" s="50"/>
      <c r="B106" s="50"/>
      <c r="C106" s="75"/>
      <c r="D106" s="79" t="s">
        <v>35</v>
      </c>
      <c r="E106" s="73" t="s">
        <v>36</v>
      </c>
      <c r="F106" s="215">
        <f>4451.1</f>
        <v>4451.1</v>
      </c>
      <c r="G106" s="215">
        <v>3983.7</v>
      </c>
      <c r="H106" s="62">
        <f t="shared" si="3"/>
        <v>89.49922491069621</v>
      </c>
    </row>
    <row r="107" spans="1:8" ht="76.5">
      <c r="A107" s="50"/>
      <c r="B107" s="50"/>
      <c r="C107" s="75" t="s">
        <v>727</v>
      </c>
      <c r="D107" s="77"/>
      <c r="E107" s="78" t="s">
        <v>728</v>
      </c>
      <c r="F107" s="215">
        <f>F108</f>
        <v>157.9</v>
      </c>
      <c r="G107" s="215">
        <f>G108</f>
        <v>109</v>
      </c>
      <c r="H107" s="62">
        <f t="shared" si="3"/>
        <v>69.03103229892336</v>
      </c>
    </row>
    <row r="108" spans="1:8" ht="38.25">
      <c r="A108" s="50"/>
      <c r="B108" s="50"/>
      <c r="C108" s="75"/>
      <c r="D108" s="79" t="s">
        <v>35</v>
      </c>
      <c r="E108" s="73" t="s">
        <v>36</v>
      </c>
      <c r="F108" s="215">
        <v>157.9</v>
      </c>
      <c r="G108" s="215">
        <v>109</v>
      </c>
      <c r="H108" s="62">
        <f t="shared" si="3"/>
        <v>69.03103229892336</v>
      </c>
    </row>
    <row r="109" spans="1:8" ht="54" customHeight="1">
      <c r="A109" s="50"/>
      <c r="B109" s="50"/>
      <c r="C109" s="65" t="s">
        <v>593</v>
      </c>
      <c r="D109" s="50"/>
      <c r="E109" s="66" t="s">
        <v>592</v>
      </c>
      <c r="F109" s="215">
        <f>F110</f>
        <v>9571.3</v>
      </c>
      <c r="G109" s="215">
        <f>G110</f>
        <v>6378.3</v>
      </c>
      <c r="H109" s="62">
        <f t="shared" si="3"/>
        <v>66.63985038604997</v>
      </c>
    </row>
    <row r="110" spans="1:8" ht="38.25">
      <c r="A110" s="50"/>
      <c r="B110" s="50"/>
      <c r="C110" s="65"/>
      <c r="D110" s="69" t="s">
        <v>35</v>
      </c>
      <c r="E110" s="73" t="s">
        <v>36</v>
      </c>
      <c r="F110" s="215">
        <f>11379.4-1808.1</f>
        <v>9571.3</v>
      </c>
      <c r="G110" s="215">
        <v>6378.3</v>
      </c>
      <c r="H110" s="62">
        <f t="shared" si="3"/>
        <v>66.63985038604997</v>
      </c>
    </row>
    <row r="111" spans="1:8" ht="38.25">
      <c r="A111" s="50"/>
      <c r="B111" s="50"/>
      <c r="C111" s="65" t="s">
        <v>993</v>
      </c>
      <c r="D111" s="69"/>
      <c r="E111" s="73" t="s">
        <v>994</v>
      </c>
      <c r="F111" s="215">
        <f>F112</f>
        <v>0</v>
      </c>
      <c r="G111" s="215">
        <f>G112</f>
        <v>-1035</v>
      </c>
      <c r="H111" s="62">
        <v>0</v>
      </c>
    </row>
    <row r="112" spans="1:8" ht="76.5">
      <c r="A112" s="50"/>
      <c r="B112" s="50"/>
      <c r="C112" s="65" t="s">
        <v>593</v>
      </c>
      <c r="D112" s="69"/>
      <c r="E112" s="73" t="s">
        <v>592</v>
      </c>
      <c r="F112" s="215">
        <f>F113</f>
        <v>0</v>
      </c>
      <c r="G112" s="215">
        <f>G113</f>
        <v>-1035</v>
      </c>
      <c r="H112" s="62">
        <v>0</v>
      </c>
    </row>
    <row r="113" spans="1:8" ht="39" customHeight="1">
      <c r="A113" s="50"/>
      <c r="B113" s="50"/>
      <c r="C113" s="65"/>
      <c r="D113" s="69" t="s">
        <v>34</v>
      </c>
      <c r="E113" s="66" t="s">
        <v>729</v>
      </c>
      <c r="F113" s="215">
        <v>0</v>
      </c>
      <c r="G113" s="215">
        <v>-1035</v>
      </c>
      <c r="H113" s="62">
        <v>0</v>
      </c>
    </row>
    <row r="114" spans="1:8" ht="26.25" customHeight="1">
      <c r="A114" s="50"/>
      <c r="B114" s="50"/>
      <c r="C114" s="65" t="s">
        <v>224</v>
      </c>
      <c r="D114" s="50"/>
      <c r="E114" s="73" t="s">
        <v>197</v>
      </c>
      <c r="F114" s="215">
        <f aca="true" t="shared" si="6" ref="F114:G116">F115</f>
        <v>635.5</v>
      </c>
      <c r="G114" s="215">
        <f t="shared" si="6"/>
        <v>635.5</v>
      </c>
      <c r="H114" s="62">
        <f t="shared" si="3"/>
        <v>100</v>
      </c>
    </row>
    <row r="115" spans="1:8" ht="27.75" customHeight="1">
      <c r="A115" s="50"/>
      <c r="B115" s="50"/>
      <c r="C115" s="65" t="s">
        <v>225</v>
      </c>
      <c r="D115" s="50"/>
      <c r="E115" s="66" t="s">
        <v>226</v>
      </c>
      <c r="F115" s="215">
        <f t="shared" si="6"/>
        <v>635.5</v>
      </c>
      <c r="G115" s="215">
        <f t="shared" si="6"/>
        <v>635.5</v>
      </c>
      <c r="H115" s="62">
        <f t="shared" si="3"/>
        <v>100</v>
      </c>
    </row>
    <row r="116" spans="1:8" ht="51">
      <c r="A116" s="50"/>
      <c r="B116" s="50"/>
      <c r="C116" s="65" t="s">
        <v>227</v>
      </c>
      <c r="D116" s="69"/>
      <c r="E116" s="73" t="s">
        <v>201</v>
      </c>
      <c r="F116" s="215">
        <f t="shared" si="6"/>
        <v>635.5</v>
      </c>
      <c r="G116" s="215">
        <f t="shared" si="6"/>
        <v>635.5</v>
      </c>
      <c r="H116" s="62">
        <f t="shared" si="3"/>
        <v>100</v>
      </c>
    </row>
    <row r="117" spans="1:8" ht="38.25">
      <c r="A117" s="50"/>
      <c r="B117" s="50"/>
      <c r="C117" s="50"/>
      <c r="D117" s="69" t="s">
        <v>35</v>
      </c>
      <c r="E117" s="73" t="s">
        <v>36</v>
      </c>
      <c r="F117" s="215">
        <v>635.5</v>
      </c>
      <c r="G117" s="215">
        <v>635.5</v>
      </c>
      <c r="H117" s="62">
        <f t="shared" si="3"/>
        <v>100</v>
      </c>
    </row>
    <row r="118" spans="1:8" ht="25.5">
      <c r="A118" s="50"/>
      <c r="B118" s="76" t="s">
        <v>37</v>
      </c>
      <c r="C118" s="50"/>
      <c r="D118" s="65"/>
      <c r="E118" s="67" t="s">
        <v>38</v>
      </c>
      <c r="F118" s="215">
        <f>+F119</f>
        <v>307.9</v>
      </c>
      <c r="G118" s="215">
        <f>+G119</f>
        <v>307.9</v>
      </c>
      <c r="H118" s="62">
        <f t="shared" si="3"/>
        <v>100</v>
      </c>
    </row>
    <row r="119" spans="1:8" ht="51">
      <c r="A119" s="50"/>
      <c r="B119" s="76"/>
      <c r="C119" s="65" t="s">
        <v>269</v>
      </c>
      <c r="D119" s="65"/>
      <c r="E119" s="66" t="s">
        <v>575</v>
      </c>
      <c r="F119" s="215">
        <f>F120</f>
        <v>307.9</v>
      </c>
      <c r="G119" s="215">
        <f>G120</f>
        <v>307.9</v>
      </c>
      <c r="H119" s="62">
        <f t="shared" si="3"/>
        <v>100</v>
      </c>
    </row>
    <row r="120" spans="1:8" ht="38.25">
      <c r="A120" s="50"/>
      <c r="B120" s="76"/>
      <c r="C120" s="65" t="s">
        <v>583</v>
      </c>
      <c r="D120" s="50"/>
      <c r="E120" s="66" t="s">
        <v>584</v>
      </c>
      <c r="F120" s="215">
        <f>F121</f>
        <v>307.9</v>
      </c>
      <c r="G120" s="215">
        <f>G121</f>
        <v>307.9</v>
      </c>
      <c r="H120" s="62">
        <f t="shared" si="3"/>
        <v>100</v>
      </c>
    </row>
    <row r="121" spans="1:8" ht="42" customHeight="1">
      <c r="A121" s="50"/>
      <c r="B121" s="76"/>
      <c r="C121" s="65" t="s">
        <v>585</v>
      </c>
      <c r="D121" s="76"/>
      <c r="E121" s="73" t="s">
        <v>599</v>
      </c>
      <c r="F121" s="215">
        <f>F122+F124</f>
        <v>307.9</v>
      </c>
      <c r="G121" s="215">
        <v>307.9</v>
      </c>
      <c r="H121" s="62">
        <f t="shared" si="3"/>
        <v>100</v>
      </c>
    </row>
    <row r="122" spans="1:8" ht="91.5" customHeight="1">
      <c r="A122" s="50"/>
      <c r="B122" s="76"/>
      <c r="C122" s="65" t="s">
        <v>600</v>
      </c>
      <c r="D122" s="50"/>
      <c r="E122" s="80" t="s">
        <v>601</v>
      </c>
      <c r="F122" s="215">
        <f>F123</f>
        <v>271.5</v>
      </c>
      <c r="G122" s="215">
        <f>G123</f>
        <v>271.5</v>
      </c>
      <c r="H122" s="62">
        <f t="shared" si="3"/>
        <v>100</v>
      </c>
    </row>
    <row r="123" spans="1:8" ht="16.5" customHeight="1">
      <c r="A123" s="50"/>
      <c r="B123" s="50"/>
      <c r="C123" s="65"/>
      <c r="D123" s="65" t="s">
        <v>8</v>
      </c>
      <c r="E123" s="66" t="s">
        <v>9</v>
      </c>
      <c r="F123" s="215">
        <v>271.5</v>
      </c>
      <c r="G123" s="215">
        <v>271.5</v>
      </c>
      <c r="H123" s="62">
        <f t="shared" si="3"/>
        <v>100</v>
      </c>
    </row>
    <row r="124" spans="1:8" ht="76.5">
      <c r="A124" s="50"/>
      <c r="B124" s="50"/>
      <c r="C124" s="65" t="s">
        <v>602</v>
      </c>
      <c r="D124" s="50"/>
      <c r="E124" s="80" t="s">
        <v>603</v>
      </c>
      <c r="F124" s="215">
        <f>F125</f>
        <v>36.4</v>
      </c>
      <c r="G124" s="215">
        <f>G125</f>
        <v>36.4</v>
      </c>
      <c r="H124" s="62">
        <f t="shared" si="3"/>
        <v>100</v>
      </c>
    </row>
    <row r="125" spans="1:8" ht="15">
      <c r="A125" s="50"/>
      <c r="B125" s="50"/>
      <c r="C125" s="65"/>
      <c r="D125" s="65" t="s">
        <v>8</v>
      </c>
      <c r="E125" s="66" t="s">
        <v>9</v>
      </c>
      <c r="F125" s="215">
        <v>36.4</v>
      </c>
      <c r="G125" s="215">
        <v>36.4</v>
      </c>
      <c r="H125" s="62">
        <f t="shared" si="3"/>
        <v>100</v>
      </c>
    </row>
    <row r="126" spans="1:8" ht="25.5">
      <c r="A126" s="50"/>
      <c r="B126" s="65" t="s">
        <v>39</v>
      </c>
      <c r="C126" s="65"/>
      <c r="D126" s="81"/>
      <c r="E126" s="73" t="s">
        <v>77</v>
      </c>
      <c r="F126" s="215">
        <f>+F127+F135</f>
        <v>3698.8999999999996</v>
      </c>
      <c r="G126" s="215">
        <f>+G127+G135</f>
        <v>3122.9</v>
      </c>
      <c r="H126" s="62">
        <f t="shared" si="3"/>
        <v>84.42780286030982</v>
      </c>
    </row>
    <row r="127" spans="1:8" ht="15">
      <c r="A127" s="50"/>
      <c r="B127" s="65" t="s">
        <v>366</v>
      </c>
      <c r="C127" s="50"/>
      <c r="D127" s="69"/>
      <c r="E127" s="67" t="s">
        <v>367</v>
      </c>
      <c r="F127" s="215">
        <f aca="true" t="shared" si="7" ref="F127:G129">F128</f>
        <v>1941.8999999999999</v>
      </c>
      <c r="G127" s="215">
        <f t="shared" si="7"/>
        <v>1365.9</v>
      </c>
      <c r="H127" s="62">
        <f t="shared" si="3"/>
        <v>70.33832844121739</v>
      </c>
    </row>
    <row r="128" spans="1:8" ht="39" customHeight="1">
      <c r="A128" s="50"/>
      <c r="B128" s="50"/>
      <c r="C128" s="65" t="s">
        <v>213</v>
      </c>
      <c r="D128" s="49"/>
      <c r="E128" s="68" t="s">
        <v>214</v>
      </c>
      <c r="F128" s="215">
        <f t="shared" si="7"/>
        <v>1941.8999999999999</v>
      </c>
      <c r="G128" s="215">
        <f t="shared" si="7"/>
        <v>1365.9</v>
      </c>
      <c r="H128" s="62">
        <f t="shared" si="3"/>
        <v>70.33832844121739</v>
      </c>
    </row>
    <row r="129" spans="1:8" ht="25.5">
      <c r="A129" s="50"/>
      <c r="B129" s="50"/>
      <c r="C129" s="65" t="s">
        <v>606</v>
      </c>
      <c r="D129" s="50"/>
      <c r="E129" s="73" t="s">
        <v>607</v>
      </c>
      <c r="F129" s="215">
        <f t="shared" si="7"/>
        <v>1941.8999999999999</v>
      </c>
      <c r="G129" s="215">
        <f t="shared" si="7"/>
        <v>1365.9</v>
      </c>
      <c r="H129" s="62">
        <f t="shared" si="3"/>
        <v>70.33832844121739</v>
      </c>
    </row>
    <row r="130" spans="1:8" ht="38.25">
      <c r="A130" s="50"/>
      <c r="B130" s="50"/>
      <c r="C130" s="65" t="s">
        <v>608</v>
      </c>
      <c r="D130" s="50"/>
      <c r="E130" s="66" t="s">
        <v>609</v>
      </c>
      <c r="F130" s="215">
        <f>F131+F133</f>
        <v>1941.8999999999999</v>
      </c>
      <c r="G130" s="215">
        <f>G131+G133</f>
        <v>1365.9</v>
      </c>
      <c r="H130" s="62">
        <f t="shared" si="3"/>
        <v>70.33832844121739</v>
      </c>
    </row>
    <row r="131" spans="1:8" ht="38.25">
      <c r="A131" s="50"/>
      <c r="B131" s="50"/>
      <c r="C131" s="65" t="s">
        <v>610</v>
      </c>
      <c r="D131" s="69"/>
      <c r="E131" s="73" t="s">
        <v>611</v>
      </c>
      <c r="F131" s="215">
        <f>F132</f>
        <v>1288.6</v>
      </c>
      <c r="G131" s="215">
        <f>G132</f>
        <v>712.6</v>
      </c>
      <c r="H131" s="62">
        <f t="shared" si="3"/>
        <v>55.3003259351234</v>
      </c>
    </row>
    <row r="132" spans="1:8" ht="42" customHeight="1">
      <c r="A132" s="50"/>
      <c r="B132" s="50"/>
      <c r="C132" s="50"/>
      <c r="D132" s="69" t="s">
        <v>35</v>
      </c>
      <c r="E132" s="73" t="s">
        <v>36</v>
      </c>
      <c r="F132" s="215">
        <v>1288.6</v>
      </c>
      <c r="G132" s="215">
        <v>712.6</v>
      </c>
      <c r="H132" s="62">
        <f t="shared" si="3"/>
        <v>55.3003259351234</v>
      </c>
    </row>
    <row r="133" spans="1:8" ht="38.25">
      <c r="A133" s="50"/>
      <c r="B133" s="50"/>
      <c r="C133" s="65" t="s">
        <v>706</v>
      </c>
      <c r="D133" s="69"/>
      <c r="E133" s="73" t="s">
        <v>611</v>
      </c>
      <c r="F133" s="215">
        <f>F134</f>
        <v>653.3</v>
      </c>
      <c r="G133" s="215">
        <f>G134</f>
        <v>653.3</v>
      </c>
      <c r="H133" s="62">
        <f t="shared" si="3"/>
        <v>100</v>
      </c>
    </row>
    <row r="134" spans="1:8" ht="42" customHeight="1">
      <c r="A134" s="50"/>
      <c r="B134" s="50"/>
      <c r="C134" s="50"/>
      <c r="D134" s="69" t="s">
        <v>35</v>
      </c>
      <c r="E134" s="73" t="s">
        <v>36</v>
      </c>
      <c r="F134" s="215">
        <v>653.3</v>
      </c>
      <c r="G134" s="218">
        <v>653.3</v>
      </c>
      <c r="H134" s="62">
        <f t="shared" si="3"/>
        <v>100</v>
      </c>
    </row>
    <row r="135" spans="1:8" ht="25.5">
      <c r="A135" s="50"/>
      <c r="B135" s="65" t="s">
        <v>42</v>
      </c>
      <c r="C135" s="50"/>
      <c r="D135" s="69"/>
      <c r="E135" s="67" t="s">
        <v>43</v>
      </c>
      <c r="F135" s="215">
        <f aca="true" t="shared" si="8" ref="F135:G139">F136</f>
        <v>1757</v>
      </c>
      <c r="G135" s="215">
        <f t="shared" si="8"/>
        <v>1757</v>
      </c>
      <c r="H135" s="62">
        <f t="shared" si="3"/>
        <v>100</v>
      </c>
    </row>
    <row r="136" spans="1:8" ht="38.25">
      <c r="A136" s="50"/>
      <c r="B136" s="50"/>
      <c r="C136" s="65" t="s">
        <v>213</v>
      </c>
      <c r="D136" s="49"/>
      <c r="E136" s="68" t="s">
        <v>214</v>
      </c>
      <c r="F136" s="215">
        <f t="shared" si="8"/>
        <v>1757</v>
      </c>
      <c r="G136" s="215">
        <f t="shared" si="8"/>
        <v>1757</v>
      </c>
      <c r="H136" s="62">
        <f t="shared" si="3"/>
        <v>100</v>
      </c>
    </row>
    <row r="137" spans="1:8" ht="28.5" customHeight="1">
      <c r="A137" s="50"/>
      <c r="B137" s="50"/>
      <c r="C137" s="65" t="s">
        <v>224</v>
      </c>
      <c r="D137" s="50"/>
      <c r="E137" s="73" t="s">
        <v>197</v>
      </c>
      <c r="F137" s="215">
        <f t="shared" si="8"/>
        <v>1757</v>
      </c>
      <c r="G137" s="215">
        <f t="shared" si="8"/>
        <v>1757</v>
      </c>
      <c r="H137" s="62">
        <f t="shared" si="3"/>
        <v>100</v>
      </c>
    </row>
    <row r="138" spans="1:8" ht="30" customHeight="1">
      <c r="A138" s="50"/>
      <c r="B138" s="50"/>
      <c r="C138" s="65" t="s">
        <v>225</v>
      </c>
      <c r="D138" s="50"/>
      <c r="E138" s="66" t="s">
        <v>226</v>
      </c>
      <c r="F138" s="215">
        <f t="shared" si="8"/>
        <v>1757</v>
      </c>
      <c r="G138" s="215">
        <f t="shared" si="8"/>
        <v>1757</v>
      </c>
      <c r="H138" s="62">
        <f t="shared" si="3"/>
        <v>100</v>
      </c>
    </row>
    <row r="139" spans="1:8" ht="27" customHeight="1">
      <c r="A139" s="50"/>
      <c r="B139" s="50"/>
      <c r="C139" s="65" t="s">
        <v>227</v>
      </c>
      <c r="D139" s="69"/>
      <c r="E139" s="73" t="s">
        <v>201</v>
      </c>
      <c r="F139" s="215">
        <f t="shared" si="8"/>
        <v>1757</v>
      </c>
      <c r="G139" s="215">
        <f t="shared" si="8"/>
        <v>1757</v>
      </c>
      <c r="H139" s="62">
        <f t="shared" si="3"/>
        <v>100</v>
      </c>
    </row>
    <row r="140" spans="1:8" ht="41.25" customHeight="1">
      <c r="A140" s="50"/>
      <c r="B140" s="50"/>
      <c r="C140" s="50"/>
      <c r="D140" s="69" t="s">
        <v>35</v>
      </c>
      <c r="E140" s="73" t="s">
        <v>36</v>
      </c>
      <c r="F140" s="215">
        <v>1757</v>
      </c>
      <c r="G140" s="215">
        <v>1757</v>
      </c>
      <c r="H140" s="62">
        <f t="shared" si="3"/>
        <v>100</v>
      </c>
    </row>
    <row r="141" spans="1:8" ht="15">
      <c r="A141" s="50"/>
      <c r="B141" s="76" t="s">
        <v>116</v>
      </c>
      <c r="C141" s="65"/>
      <c r="D141" s="76"/>
      <c r="E141" s="72" t="s">
        <v>117</v>
      </c>
      <c r="F141" s="215">
        <f aca="true" t="shared" si="9" ref="F141:G146">F142</f>
        <v>153.9</v>
      </c>
      <c r="G141" s="215">
        <f t="shared" si="9"/>
        <v>153.9</v>
      </c>
      <c r="H141" s="62">
        <f t="shared" si="3"/>
        <v>100</v>
      </c>
    </row>
    <row r="142" spans="1:8" ht="26.25" customHeight="1">
      <c r="A142" s="50"/>
      <c r="B142" s="76" t="s">
        <v>118</v>
      </c>
      <c r="C142" s="65"/>
      <c r="D142" s="76"/>
      <c r="E142" s="67" t="s">
        <v>119</v>
      </c>
      <c r="F142" s="215">
        <f t="shared" si="9"/>
        <v>153.9</v>
      </c>
      <c r="G142" s="215">
        <f t="shared" si="9"/>
        <v>153.9</v>
      </c>
      <c r="H142" s="62">
        <f aca="true" t="shared" si="10" ref="H142:H203">G142/F142*100</f>
        <v>100</v>
      </c>
    </row>
    <row r="143" spans="1:8" ht="38.25">
      <c r="A143" s="50"/>
      <c r="B143" s="50"/>
      <c r="C143" s="65" t="s">
        <v>213</v>
      </c>
      <c r="D143" s="49"/>
      <c r="E143" s="68" t="s">
        <v>214</v>
      </c>
      <c r="F143" s="215">
        <f t="shared" si="9"/>
        <v>153.9</v>
      </c>
      <c r="G143" s="215">
        <f t="shared" si="9"/>
        <v>153.9</v>
      </c>
      <c r="H143" s="62">
        <f t="shared" si="10"/>
        <v>100</v>
      </c>
    </row>
    <row r="144" spans="1:8" ht="30.75" customHeight="1">
      <c r="A144" s="50"/>
      <c r="B144" s="50"/>
      <c r="C144" s="65" t="s">
        <v>224</v>
      </c>
      <c r="D144" s="50"/>
      <c r="E144" s="73" t="s">
        <v>197</v>
      </c>
      <c r="F144" s="215">
        <f t="shared" si="9"/>
        <v>153.9</v>
      </c>
      <c r="G144" s="215">
        <f t="shared" si="9"/>
        <v>153.9</v>
      </c>
      <c r="H144" s="62">
        <f t="shared" si="10"/>
        <v>100</v>
      </c>
    </row>
    <row r="145" spans="1:8" ht="28.5" customHeight="1">
      <c r="A145" s="50"/>
      <c r="B145" s="50"/>
      <c r="C145" s="65" t="s">
        <v>225</v>
      </c>
      <c r="D145" s="50"/>
      <c r="E145" s="66" t="s">
        <v>226</v>
      </c>
      <c r="F145" s="215">
        <f t="shared" si="9"/>
        <v>153.9</v>
      </c>
      <c r="G145" s="215">
        <f t="shared" si="9"/>
        <v>153.9</v>
      </c>
      <c r="H145" s="62">
        <f t="shared" si="10"/>
        <v>100</v>
      </c>
    </row>
    <row r="146" spans="1:8" ht="51">
      <c r="A146" s="50"/>
      <c r="B146" s="50"/>
      <c r="C146" s="65" t="s">
        <v>227</v>
      </c>
      <c r="D146" s="69"/>
      <c r="E146" s="73" t="s">
        <v>201</v>
      </c>
      <c r="F146" s="215">
        <f t="shared" si="9"/>
        <v>153.9</v>
      </c>
      <c r="G146" s="215">
        <f t="shared" si="9"/>
        <v>153.9</v>
      </c>
      <c r="H146" s="62">
        <f t="shared" si="10"/>
        <v>100</v>
      </c>
    </row>
    <row r="147" spans="1:8" ht="38.25">
      <c r="A147" s="50"/>
      <c r="B147" s="50"/>
      <c r="C147" s="50"/>
      <c r="D147" s="69" t="s">
        <v>35</v>
      </c>
      <c r="E147" s="73" t="s">
        <v>36</v>
      </c>
      <c r="F147" s="215">
        <v>153.9</v>
      </c>
      <c r="G147" s="215">
        <v>153.9</v>
      </c>
      <c r="H147" s="62">
        <f t="shared" si="10"/>
        <v>100</v>
      </c>
    </row>
    <row r="148" spans="1:8" ht="15">
      <c r="A148" s="50"/>
      <c r="B148" s="65" t="s">
        <v>44</v>
      </c>
      <c r="C148" s="65"/>
      <c r="D148" s="65"/>
      <c r="E148" s="66" t="s">
        <v>81</v>
      </c>
      <c r="F148" s="215">
        <f aca="true" t="shared" si="11" ref="F148:G151">F149</f>
        <v>2232.6</v>
      </c>
      <c r="G148" s="215">
        <f t="shared" si="11"/>
        <v>2174.1</v>
      </c>
      <c r="H148" s="62">
        <f t="shared" si="10"/>
        <v>97.37973662993818</v>
      </c>
    </row>
    <row r="149" spans="1:8" ht="15">
      <c r="A149" s="50"/>
      <c r="B149" s="65" t="s">
        <v>47</v>
      </c>
      <c r="C149" s="65"/>
      <c r="D149" s="65"/>
      <c r="E149" s="66" t="s">
        <v>48</v>
      </c>
      <c r="F149" s="215">
        <f t="shared" si="11"/>
        <v>2232.6</v>
      </c>
      <c r="G149" s="215">
        <f t="shared" si="11"/>
        <v>2174.1</v>
      </c>
      <c r="H149" s="62">
        <f t="shared" si="10"/>
        <v>97.37973662993818</v>
      </c>
    </row>
    <row r="150" spans="1:8" ht="38.25">
      <c r="A150" s="50"/>
      <c r="B150" s="65"/>
      <c r="C150" s="65" t="s">
        <v>237</v>
      </c>
      <c r="D150" s="49"/>
      <c r="E150" s="68" t="s">
        <v>82</v>
      </c>
      <c r="F150" s="215">
        <f t="shared" si="11"/>
        <v>2232.6</v>
      </c>
      <c r="G150" s="215">
        <f t="shared" si="11"/>
        <v>2174.1</v>
      </c>
      <c r="H150" s="62">
        <f t="shared" si="10"/>
        <v>97.37973662993818</v>
      </c>
    </row>
    <row r="151" spans="1:8" ht="38.25">
      <c r="A151" s="50"/>
      <c r="B151" s="50"/>
      <c r="C151" s="65" t="s">
        <v>244</v>
      </c>
      <c r="D151" s="65"/>
      <c r="E151" s="66" t="s">
        <v>245</v>
      </c>
      <c r="F151" s="215">
        <f t="shared" si="11"/>
        <v>2232.6</v>
      </c>
      <c r="G151" s="215">
        <f t="shared" si="11"/>
        <v>2174.1</v>
      </c>
      <c r="H151" s="62">
        <f t="shared" si="10"/>
        <v>97.37973662993818</v>
      </c>
    </row>
    <row r="152" spans="1:8" ht="102">
      <c r="A152" s="50"/>
      <c r="B152" s="81"/>
      <c r="C152" s="65" t="s">
        <v>246</v>
      </c>
      <c r="D152" s="65"/>
      <c r="E152" s="66" t="s">
        <v>247</v>
      </c>
      <c r="F152" s="215">
        <f>F153+F155</f>
        <v>2232.6</v>
      </c>
      <c r="G152" s="215">
        <f>G153+G155</f>
        <v>2174.1</v>
      </c>
      <c r="H152" s="62">
        <f t="shared" si="10"/>
        <v>97.37973662993818</v>
      </c>
    </row>
    <row r="153" spans="1:8" ht="38.25">
      <c r="A153" s="50"/>
      <c r="B153" s="65"/>
      <c r="C153" s="65" t="s">
        <v>248</v>
      </c>
      <c r="D153" s="65"/>
      <c r="E153" s="68" t="s">
        <v>243</v>
      </c>
      <c r="F153" s="215">
        <f>F154</f>
        <v>486.7</v>
      </c>
      <c r="G153" s="215">
        <f>G154</f>
        <v>428.2</v>
      </c>
      <c r="H153" s="62">
        <f t="shared" si="10"/>
        <v>87.98027532360797</v>
      </c>
    </row>
    <row r="154" spans="1:8" ht="38.25">
      <c r="A154" s="50"/>
      <c r="B154" s="65"/>
      <c r="C154" s="65"/>
      <c r="D154" s="65" t="s">
        <v>35</v>
      </c>
      <c r="E154" s="66" t="s">
        <v>83</v>
      </c>
      <c r="F154" s="215">
        <v>486.7</v>
      </c>
      <c r="G154" s="215">
        <v>428.2</v>
      </c>
      <c r="H154" s="62">
        <f t="shared" si="10"/>
        <v>87.98027532360797</v>
      </c>
    </row>
    <row r="155" spans="1:8" ht="63.75">
      <c r="A155" s="50"/>
      <c r="B155" s="65"/>
      <c r="C155" s="65" t="s">
        <v>612</v>
      </c>
      <c r="D155" s="65"/>
      <c r="E155" s="66" t="s">
        <v>236</v>
      </c>
      <c r="F155" s="215">
        <f>F156</f>
        <v>1745.9</v>
      </c>
      <c r="G155" s="215">
        <f>G156</f>
        <v>1745.9</v>
      </c>
      <c r="H155" s="62">
        <f t="shared" si="10"/>
        <v>100</v>
      </c>
    </row>
    <row r="156" spans="1:8" ht="38.25">
      <c r="A156" s="50"/>
      <c r="B156" s="65"/>
      <c r="C156" s="65"/>
      <c r="D156" s="65" t="s">
        <v>35</v>
      </c>
      <c r="E156" s="66" t="s">
        <v>83</v>
      </c>
      <c r="F156" s="215">
        <v>1745.9</v>
      </c>
      <c r="G156" s="215">
        <v>1745.9</v>
      </c>
      <c r="H156" s="62">
        <f t="shared" si="10"/>
        <v>100</v>
      </c>
    </row>
    <row r="157" spans="1:8" ht="15">
      <c r="A157" s="50"/>
      <c r="B157" s="65" t="s">
        <v>736</v>
      </c>
      <c r="C157" s="65"/>
      <c r="D157" s="65"/>
      <c r="E157" s="66" t="s">
        <v>741</v>
      </c>
      <c r="F157" s="215">
        <f aca="true" t="shared" si="12" ref="F157:G160">F158</f>
        <v>665.9</v>
      </c>
      <c r="G157" s="215">
        <f t="shared" si="12"/>
        <v>74.7</v>
      </c>
      <c r="H157" s="62">
        <f t="shared" si="10"/>
        <v>11.217900585673526</v>
      </c>
    </row>
    <row r="158" spans="1:8" ht="25.5">
      <c r="A158" s="50"/>
      <c r="B158" s="65" t="s">
        <v>737</v>
      </c>
      <c r="C158" s="65"/>
      <c r="D158" s="65"/>
      <c r="E158" s="66" t="s">
        <v>740</v>
      </c>
      <c r="F158" s="215">
        <f t="shared" si="12"/>
        <v>665.9</v>
      </c>
      <c r="G158" s="215">
        <f t="shared" si="12"/>
        <v>74.7</v>
      </c>
      <c r="H158" s="62">
        <f t="shared" si="10"/>
        <v>11.217900585673526</v>
      </c>
    </row>
    <row r="159" spans="1:8" ht="63.75">
      <c r="A159" s="50"/>
      <c r="B159" s="65"/>
      <c r="C159" s="74" t="s">
        <v>178</v>
      </c>
      <c r="D159" s="65"/>
      <c r="E159" s="66" t="s">
        <v>74</v>
      </c>
      <c r="F159" s="215">
        <f t="shared" si="12"/>
        <v>665.9</v>
      </c>
      <c r="G159" s="215">
        <f t="shared" si="12"/>
        <v>74.7</v>
      </c>
      <c r="H159" s="62">
        <f t="shared" si="10"/>
        <v>11.217900585673526</v>
      </c>
    </row>
    <row r="160" spans="1:8" ht="38.25">
      <c r="A160" s="50"/>
      <c r="B160" s="65"/>
      <c r="C160" s="74" t="s">
        <v>738</v>
      </c>
      <c r="D160" s="65"/>
      <c r="E160" s="66" t="s">
        <v>739</v>
      </c>
      <c r="F160" s="215">
        <f t="shared" si="12"/>
        <v>665.9</v>
      </c>
      <c r="G160" s="215">
        <f t="shared" si="12"/>
        <v>74.7</v>
      </c>
      <c r="H160" s="62">
        <f t="shared" si="10"/>
        <v>11.217900585673526</v>
      </c>
    </row>
    <row r="161" spans="1:8" ht="38.25">
      <c r="A161" s="50"/>
      <c r="B161" s="65"/>
      <c r="C161" s="65"/>
      <c r="D161" s="65" t="s">
        <v>35</v>
      </c>
      <c r="E161" s="66" t="s">
        <v>83</v>
      </c>
      <c r="F161" s="215">
        <v>665.9</v>
      </c>
      <c r="G161" s="215">
        <v>74.7</v>
      </c>
      <c r="H161" s="62">
        <f t="shared" si="10"/>
        <v>11.217900585673526</v>
      </c>
    </row>
    <row r="162" spans="1:8" ht="17.25" customHeight="1">
      <c r="A162" s="50"/>
      <c r="B162" s="76" t="s">
        <v>57</v>
      </c>
      <c r="C162" s="50"/>
      <c r="D162" s="65"/>
      <c r="E162" s="72" t="s">
        <v>73</v>
      </c>
      <c r="F162" s="215">
        <f>F163+F169+F175</f>
        <v>3678.3</v>
      </c>
      <c r="G162" s="215">
        <f>G163+G169+G175</f>
        <v>2645</v>
      </c>
      <c r="H162" s="62">
        <f t="shared" si="10"/>
        <v>71.90821847048909</v>
      </c>
    </row>
    <row r="163" spans="1:8" ht="15">
      <c r="A163" s="50"/>
      <c r="B163" s="76" t="s">
        <v>58</v>
      </c>
      <c r="C163" s="50"/>
      <c r="D163" s="50"/>
      <c r="E163" s="72" t="s">
        <v>59</v>
      </c>
      <c r="F163" s="215">
        <f aca="true" t="shared" si="13" ref="F163:G167">F164</f>
        <v>637</v>
      </c>
      <c r="G163" s="215">
        <f t="shared" si="13"/>
        <v>637</v>
      </c>
      <c r="H163" s="62">
        <f t="shared" si="10"/>
        <v>100</v>
      </c>
    </row>
    <row r="164" spans="1:8" ht="41.25" customHeight="1">
      <c r="A164" s="50"/>
      <c r="B164" s="76"/>
      <c r="C164" s="65" t="s">
        <v>169</v>
      </c>
      <c r="D164" s="49"/>
      <c r="E164" s="68" t="s">
        <v>68</v>
      </c>
      <c r="F164" s="215">
        <f t="shared" si="13"/>
        <v>637</v>
      </c>
      <c r="G164" s="215">
        <f t="shared" si="13"/>
        <v>637</v>
      </c>
      <c r="H164" s="62">
        <f t="shared" si="10"/>
        <v>100</v>
      </c>
    </row>
    <row r="165" spans="1:8" ht="40.5" customHeight="1">
      <c r="A165" s="50"/>
      <c r="B165" s="76"/>
      <c r="C165" s="65" t="s">
        <v>170</v>
      </c>
      <c r="D165" s="65"/>
      <c r="E165" s="66" t="s">
        <v>690</v>
      </c>
      <c r="F165" s="215">
        <f t="shared" si="13"/>
        <v>637</v>
      </c>
      <c r="G165" s="215">
        <f t="shared" si="13"/>
        <v>637</v>
      </c>
      <c r="H165" s="62">
        <f t="shared" si="10"/>
        <v>100</v>
      </c>
    </row>
    <row r="166" spans="1:8" ht="38.25">
      <c r="A166" s="50"/>
      <c r="B166" s="76"/>
      <c r="C166" s="65" t="s">
        <v>270</v>
      </c>
      <c r="D166" s="65"/>
      <c r="E166" s="66" t="s">
        <v>271</v>
      </c>
      <c r="F166" s="215">
        <f t="shared" si="13"/>
        <v>637</v>
      </c>
      <c r="G166" s="215">
        <f t="shared" si="13"/>
        <v>637</v>
      </c>
      <c r="H166" s="62">
        <f t="shared" si="10"/>
        <v>100</v>
      </c>
    </row>
    <row r="167" spans="1:8" ht="39.75" customHeight="1">
      <c r="A167" s="50"/>
      <c r="B167" s="76"/>
      <c r="C167" s="65" t="s">
        <v>272</v>
      </c>
      <c r="D167" s="65"/>
      <c r="E167" s="66" t="s">
        <v>60</v>
      </c>
      <c r="F167" s="215">
        <f t="shared" si="13"/>
        <v>637</v>
      </c>
      <c r="G167" s="215">
        <f t="shared" si="13"/>
        <v>637</v>
      </c>
      <c r="H167" s="62">
        <f t="shared" si="10"/>
        <v>100</v>
      </c>
    </row>
    <row r="168" spans="1:8" ht="27" customHeight="1">
      <c r="A168" s="50"/>
      <c r="B168" s="76"/>
      <c r="C168" s="50"/>
      <c r="D168" s="76" t="s">
        <v>14</v>
      </c>
      <c r="E168" s="73" t="s">
        <v>15</v>
      </c>
      <c r="F168" s="215">
        <v>637</v>
      </c>
      <c r="G168" s="215">
        <v>637</v>
      </c>
      <c r="H168" s="62">
        <f t="shared" si="10"/>
        <v>100</v>
      </c>
    </row>
    <row r="169" spans="1:8" ht="14.25" customHeight="1">
      <c r="A169" s="50"/>
      <c r="B169" s="76">
        <v>1003</v>
      </c>
      <c r="C169" s="50"/>
      <c r="D169" s="50"/>
      <c r="E169" s="72" t="s">
        <v>61</v>
      </c>
      <c r="F169" s="215">
        <f aca="true" t="shared" si="14" ref="F169:G171">F170</f>
        <v>3.7</v>
      </c>
      <c r="G169" s="215">
        <f t="shared" si="14"/>
        <v>0</v>
      </c>
      <c r="H169" s="62">
        <f t="shared" si="10"/>
        <v>0</v>
      </c>
    </row>
    <row r="170" spans="1:8" ht="63.75" customHeight="1">
      <c r="A170" s="50"/>
      <c r="B170" s="76"/>
      <c r="C170" s="65" t="s">
        <v>615</v>
      </c>
      <c r="D170" s="49"/>
      <c r="E170" s="66" t="s">
        <v>616</v>
      </c>
      <c r="F170" s="215">
        <f t="shared" si="14"/>
        <v>3.7</v>
      </c>
      <c r="G170" s="215">
        <f t="shared" si="14"/>
        <v>0</v>
      </c>
      <c r="H170" s="62">
        <f t="shared" si="10"/>
        <v>0</v>
      </c>
    </row>
    <row r="171" spans="1:8" ht="25.5">
      <c r="A171" s="50"/>
      <c r="B171" s="76"/>
      <c r="C171" s="75" t="s">
        <v>617</v>
      </c>
      <c r="D171" s="77"/>
      <c r="E171" s="66" t="s">
        <v>618</v>
      </c>
      <c r="F171" s="215">
        <f t="shared" si="14"/>
        <v>3.7</v>
      </c>
      <c r="G171" s="215">
        <f t="shared" si="14"/>
        <v>0</v>
      </c>
      <c r="H171" s="62">
        <f t="shared" si="10"/>
        <v>0</v>
      </c>
    </row>
    <row r="172" spans="1:8" ht="52.5" customHeight="1">
      <c r="A172" s="50"/>
      <c r="B172" s="76"/>
      <c r="C172" s="75" t="s">
        <v>619</v>
      </c>
      <c r="D172" s="70"/>
      <c r="E172" s="73" t="s">
        <v>620</v>
      </c>
      <c r="F172" s="215">
        <f>F173</f>
        <v>3.7</v>
      </c>
      <c r="G172" s="215">
        <f>G173</f>
        <v>0</v>
      </c>
      <c r="H172" s="62">
        <f t="shared" si="10"/>
        <v>0</v>
      </c>
    </row>
    <row r="173" spans="1:8" ht="15">
      <c r="A173" s="50"/>
      <c r="B173" s="76"/>
      <c r="C173" s="75" t="s">
        <v>621</v>
      </c>
      <c r="D173" s="77"/>
      <c r="E173" s="80" t="s">
        <v>622</v>
      </c>
      <c r="F173" s="215">
        <f>F174</f>
        <v>3.7</v>
      </c>
      <c r="G173" s="215">
        <f>G174</f>
        <v>0</v>
      </c>
      <c r="H173" s="62">
        <f t="shared" si="10"/>
        <v>0</v>
      </c>
    </row>
    <row r="174" spans="1:8" ht="25.5">
      <c r="A174" s="50"/>
      <c r="B174" s="76"/>
      <c r="C174" s="75"/>
      <c r="D174" s="70" t="s">
        <v>14</v>
      </c>
      <c r="E174" s="73" t="s">
        <v>15</v>
      </c>
      <c r="F174" s="215">
        <v>3.7</v>
      </c>
      <c r="G174" s="215">
        <v>0</v>
      </c>
      <c r="H174" s="62">
        <f t="shared" si="10"/>
        <v>0</v>
      </c>
    </row>
    <row r="175" spans="1:8" ht="15">
      <c r="A175" s="50"/>
      <c r="B175" s="76" t="s">
        <v>62</v>
      </c>
      <c r="C175" s="50"/>
      <c r="D175" s="50"/>
      <c r="E175" s="82" t="s">
        <v>89</v>
      </c>
      <c r="F175" s="215">
        <f aca="true" t="shared" si="15" ref="F175:G177">F176</f>
        <v>3037.6</v>
      </c>
      <c r="G175" s="215">
        <f t="shared" si="15"/>
        <v>2008</v>
      </c>
      <c r="H175" s="62">
        <f t="shared" si="10"/>
        <v>66.10481959441664</v>
      </c>
    </row>
    <row r="176" spans="1:8" ht="63.75">
      <c r="A176" s="50"/>
      <c r="B176" s="76"/>
      <c r="C176" s="74" t="s">
        <v>178</v>
      </c>
      <c r="D176" s="65"/>
      <c r="E176" s="66" t="s">
        <v>74</v>
      </c>
      <c r="F176" s="215">
        <f t="shared" si="15"/>
        <v>3037.6</v>
      </c>
      <c r="G176" s="215">
        <f t="shared" si="15"/>
        <v>2008</v>
      </c>
      <c r="H176" s="62">
        <f t="shared" si="10"/>
        <v>66.10481959441664</v>
      </c>
    </row>
    <row r="177" spans="1:8" ht="118.5" customHeight="1">
      <c r="A177" s="50"/>
      <c r="B177" s="76"/>
      <c r="C177" s="74" t="s">
        <v>623</v>
      </c>
      <c r="D177" s="65"/>
      <c r="E177" s="66" t="s">
        <v>624</v>
      </c>
      <c r="F177" s="215">
        <f t="shared" si="15"/>
        <v>3037.6</v>
      </c>
      <c r="G177" s="215">
        <f t="shared" si="15"/>
        <v>2008</v>
      </c>
      <c r="H177" s="62">
        <f t="shared" si="10"/>
        <v>66.10481959441664</v>
      </c>
    </row>
    <row r="178" spans="1:8" ht="42.75" customHeight="1">
      <c r="A178" s="63"/>
      <c r="B178" s="76"/>
      <c r="C178" s="74"/>
      <c r="D178" s="69" t="s">
        <v>34</v>
      </c>
      <c r="E178" s="66" t="s">
        <v>729</v>
      </c>
      <c r="F178" s="215">
        <v>3037.6</v>
      </c>
      <c r="G178" s="215">
        <v>2008</v>
      </c>
      <c r="H178" s="62">
        <f t="shared" si="10"/>
        <v>66.10481959441664</v>
      </c>
    </row>
    <row r="179" spans="1:8" ht="15">
      <c r="A179" s="50"/>
      <c r="B179" s="65" t="s">
        <v>63</v>
      </c>
      <c r="C179" s="65"/>
      <c r="D179" s="69"/>
      <c r="E179" s="73" t="s">
        <v>86</v>
      </c>
      <c r="F179" s="215">
        <f aca="true" t="shared" si="16" ref="F179:G184">F180</f>
        <v>2892.9</v>
      </c>
      <c r="G179" s="215">
        <f t="shared" si="16"/>
        <v>2892.8</v>
      </c>
      <c r="H179" s="62">
        <f t="shared" si="10"/>
        <v>99.9965432610875</v>
      </c>
    </row>
    <row r="180" spans="1:8" ht="13.5" customHeight="1">
      <c r="A180" s="50"/>
      <c r="B180" s="65" t="s">
        <v>352</v>
      </c>
      <c r="C180" s="65"/>
      <c r="D180" s="69"/>
      <c r="E180" s="73" t="s">
        <v>353</v>
      </c>
      <c r="F180" s="215">
        <f t="shared" si="16"/>
        <v>2892.9</v>
      </c>
      <c r="G180" s="215">
        <f t="shared" si="16"/>
        <v>2892.8</v>
      </c>
      <c r="H180" s="62">
        <f t="shared" si="10"/>
        <v>99.9965432610875</v>
      </c>
    </row>
    <row r="181" spans="1:8" ht="51">
      <c r="A181" s="50"/>
      <c r="B181" s="65"/>
      <c r="C181" s="65" t="s">
        <v>254</v>
      </c>
      <c r="D181" s="69"/>
      <c r="E181" s="68" t="s">
        <v>84</v>
      </c>
      <c r="F181" s="215">
        <f t="shared" si="16"/>
        <v>2892.9</v>
      </c>
      <c r="G181" s="215">
        <f t="shared" si="16"/>
        <v>2892.8</v>
      </c>
      <c r="H181" s="62">
        <f t="shared" si="10"/>
        <v>99.9965432610875</v>
      </c>
    </row>
    <row r="182" spans="1:8" ht="25.5">
      <c r="A182" s="50"/>
      <c r="B182" s="65"/>
      <c r="C182" s="83" t="s">
        <v>275</v>
      </c>
      <c r="D182" s="69"/>
      <c r="E182" s="73" t="s">
        <v>276</v>
      </c>
      <c r="F182" s="215">
        <f t="shared" si="16"/>
        <v>2892.9</v>
      </c>
      <c r="G182" s="215">
        <f t="shared" si="16"/>
        <v>2892.8</v>
      </c>
      <c r="H182" s="62">
        <f t="shared" si="10"/>
        <v>99.9965432610875</v>
      </c>
    </row>
    <row r="183" spans="1:8" ht="24.75" customHeight="1">
      <c r="A183" s="50"/>
      <c r="B183" s="65"/>
      <c r="C183" s="65" t="s">
        <v>277</v>
      </c>
      <c r="D183" s="50"/>
      <c r="E183" s="66" t="s">
        <v>278</v>
      </c>
      <c r="F183" s="215">
        <f t="shared" si="16"/>
        <v>2892.9</v>
      </c>
      <c r="G183" s="215">
        <f t="shared" si="16"/>
        <v>2892.8</v>
      </c>
      <c r="H183" s="62">
        <f t="shared" si="10"/>
        <v>99.9965432610875</v>
      </c>
    </row>
    <row r="184" spans="1:8" ht="38.25">
      <c r="A184" s="50"/>
      <c r="B184" s="77"/>
      <c r="C184" s="75" t="s">
        <v>666</v>
      </c>
      <c r="D184" s="75"/>
      <c r="E184" s="66" t="s">
        <v>667</v>
      </c>
      <c r="F184" s="215">
        <f t="shared" si="16"/>
        <v>2892.9</v>
      </c>
      <c r="G184" s="215">
        <f t="shared" si="16"/>
        <v>2892.8</v>
      </c>
      <c r="H184" s="62">
        <f t="shared" si="10"/>
        <v>99.9965432610875</v>
      </c>
    </row>
    <row r="185" spans="1:8" ht="38.25">
      <c r="A185" s="50"/>
      <c r="B185" s="77"/>
      <c r="C185" s="75"/>
      <c r="D185" s="69" t="s">
        <v>35</v>
      </c>
      <c r="E185" s="73" t="s">
        <v>36</v>
      </c>
      <c r="F185" s="215">
        <v>2892.9</v>
      </c>
      <c r="G185" s="215">
        <v>2892.8</v>
      </c>
      <c r="H185" s="62">
        <f t="shared" si="10"/>
        <v>99.9965432610875</v>
      </c>
    </row>
    <row r="186" spans="1:8" ht="29.25" customHeight="1">
      <c r="A186" s="63">
        <v>624</v>
      </c>
      <c r="B186" s="50"/>
      <c r="C186" s="50"/>
      <c r="D186" s="50"/>
      <c r="E186" s="64" t="s">
        <v>730</v>
      </c>
      <c r="F186" s="216">
        <f>F187+F212</f>
        <v>2394.0999999999995</v>
      </c>
      <c r="G186" s="216">
        <f>G187+G212</f>
        <v>2129.7</v>
      </c>
      <c r="H186" s="56">
        <f t="shared" si="10"/>
        <v>88.95618395221587</v>
      </c>
    </row>
    <row r="187" spans="1:8" ht="15">
      <c r="A187" s="50"/>
      <c r="B187" s="65" t="s">
        <v>0</v>
      </c>
      <c r="C187" s="65"/>
      <c r="D187" s="65"/>
      <c r="E187" s="66" t="s">
        <v>168</v>
      </c>
      <c r="F187" s="215">
        <f>F188</f>
        <v>2103.8999999999996</v>
      </c>
      <c r="G187" s="215">
        <f>G188</f>
        <v>1992.1</v>
      </c>
      <c r="H187" s="62">
        <f t="shared" si="10"/>
        <v>94.68605922334713</v>
      </c>
    </row>
    <row r="188" spans="1:8" ht="15">
      <c r="A188" s="50"/>
      <c r="B188" s="65" t="s">
        <v>22</v>
      </c>
      <c r="C188" s="50"/>
      <c r="D188" s="65"/>
      <c r="E188" s="72" t="s">
        <v>23</v>
      </c>
      <c r="F188" s="215">
        <f>F189+F209</f>
        <v>2103.8999999999996</v>
      </c>
      <c r="G188" s="215">
        <f>G189+G209</f>
        <v>1992.1</v>
      </c>
      <c r="H188" s="62">
        <f t="shared" si="10"/>
        <v>94.68605922334713</v>
      </c>
    </row>
    <row r="189" spans="1:8" ht="54.75" customHeight="1">
      <c r="A189" s="50"/>
      <c r="B189" s="65"/>
      <c r="C189" s="65" t="s">
        <v>180</v>
      </c>
      <c r="D189" s="49"/>
      <c r="E189" s="68" t="s">
        <v>80</v>
      </c>
      <c r="F189" s="215">
        <f>F190+F194+F202</f>
        <v>2088.2999999999997</v>
      </c>
      <c r="G189" s="215">
        <f>G190+G194+G202</f>
        <v>1988</v>
      </c>
      <c r="H189" s="62">
        <f t="shared" si="10"/>
        <v>95.19705023224634</v>
      </c>
    </row>
    <row r="190" spans="1:8" ht="38.25">
      <c r="A190" s="50"/>
      <c r="B190" s="65"/>
      <c r="C190" s="65" t="s">
        <v>181</v>
      </c>
      <c r="D190" s="50"/>
      <c r="E190" s="66" t="s">
        <v>182</v>
      </c>
      <c r="F190" s="215">
        <f aca="true" t="shared" si="17" ref="F190:G192">F191</f>
        <v>84.1</v>
      </c>
      <c r="G190" s="215">
        <f>G191</f>
        <v>1.7</v>
      </c>
      <c r="H190" s="62">
        <f t="shared" si="10"/>
        <v>2.0214030915576697</v>
      </c>
    </row>
    <row r="191" spans="1:8" ht="38.25">
      <c r="A191" s="50"/>
      <c r="B191" s="65"/>
      <c r="C191" s="65" t="s">
        <v>183</v>
      </c>
      <c r="D191" s="50"/>
      <c r="E191" s="66" t="s">
        <v>184</v>
      </c>
      <c r="F191" s="215">
        <f t="shared" si="17"/>
        <v>84.1</v>
      </c>
      <c r="G191" s="215">
        <f t="shared" si="17"/>
        <v>1.7</v>
      </c>
      <c r="H191" s="62">
        <f t="shared" si="10"/>
        <v>2.0214030915576697</v>
      </c>
    </row>
    <row r="192" spans="1:8" ht="40.5" customHeight="1">
      <c r="A192" s="50"/>
      <c r="B192" s="65"/>
      <c r="C192" s="65" t="s">
        <v>185</v>
      </c>
      <c r="D192" s="50"/>
      <c r="E192" s="66" t="s">
        <v>186</v>
      </c>
      <c r="F192" s="215">
        <f>F193</f>
        <v>84.1</v>
      </c>
      <c r="G192" s="215">
        <f t="shared" si="17"/>
        <v>1.7</v>
      </c>
      <c r="H192" s="62">
        <f t="shared" si="10"/>
        <v>2.0214030915576697</v>
      </c>
    </row>
    <row r="193" spans="1:8" ht="40.5" customHeight="1">
      <c r="A193" s="50"/>
      <c r="B193" s="65"/>
      <c r="C193" s="65"/>
      <c r="D193" s="69" t="s">
        <v>7</v>
      </c>
      <c r="E193" s="66" t="s">
        <v>549</v>
      </c>
      <c r="F193" s="215">
        <v>84.1</v>
      </c>
      <c r="G193" s="215">
        <v>1.7</v>
      </c>
      <c r="H193" s="62">
        <f t="shared" si="10"/>
        <v>2.0214030915576697</v>
      </c>
    </row>
    <row r="194" spans="1:8" ht="39.75" customHeight="1">
      <c r="A194" s="50"/>
      <c r="B194" s="65"/>
      <c r="C194" s="65" t="s">
        <v>187</v>
      </c>
      <c r="D194" s="65"/>
      <c r="E194" s="66" t="s">
        <v>188</v>
      </c>
      <c r="F194" s="215">
        <f>F195+F198</f>
        <v>36.099999999999994</v>
      </c>
      <c r="G194" s="215">
        <f>G195+G198</f>
        <v>18.2</v>
      </c>
      <c r="H194" s="62">
        <f t="shared" si="10"/>
        <v>50.415512465373965</v>
      </c>
    </row>
    <row r="195" spans="1:8" ht="25.5">
      <c r="A195" s="50"/>
      <c r="B195" s="65"/>
      <c r="C195" s="65" t="s">
        <v>189</v>
      </c>
      <c r="D195" s="50"/>
      <c r="E195" s="66" t="s">
        <v>190</v>
      </c>
      <c r="F195" s="215">
        <f>F196</f>
        <v>17.9</v>
      </c>
      <c r="G195" s="215">
        <f>G196</f>
        <v>0</v>
      </c>
      <c r="H195" s="62">
        <f t="shared" si="10"/>
        <v>0</v>
      </c>
    </row>
    <row r="196" spans="1:8" ht="89.25">
      <c r="A196" s="50"/>
      <c r="B196" s="65"/>
      <c r="C196" s="65" t="s">
        <v>191</v>
      </c>
      <c r="D196" s="50"/>
      <c r="E196" s="66" t="s">
        <v>699</v>
      </c>
      <c r="F196" s="215">
        <f>F197</f>
        <v>17.9</v>
      </c>
      <c r="G196" s="215">
        <f>G197</f>
        <v>0</v>
      </c>
      <c r="H196" s="62">
        <f t="shared" si="10"/>
        <v>0</v>
      </c>
    </row>
    <row r="197" spans="1:8" ht="36.75" customHeight="1">
      <c r="A197" s="50"/>
      <c r="B197" s="65"/>
      <c r="C197" s="65"/>
      <c r="D197" s="69" t="s">
        <v>7</v>
      </c>
      <c r="E197" s="66" t="s">
        <v>549</v>
      </c>
      <c r="F197" s="215">
        <v>17.9</v>
      </c>
      <c r="G197" s="215">
        <v>0</v>
      </c>
      <c r="H197" s="62">
        <f t="shared" si="10"/>
        <v>0</v>
      </c>
    </row>
    <row r="198" spans="1:8" ht="51">
      <c r="A198" s="50"/>
      <c r="B198" s="65"/>
      <c r="C198" s="65" t="s">
        <v>192</v>
      </c>
      <c r="D198" s="69"/>
      <c r="E198" s="66" t="s">
        <v>193</v>
      </c>
      <c r="F198" s="215">
        <f>F199</f>
        <v>18.2</v>
      </c>
      <c r="G198" s="215">
        <f>G199</f>
        <v>18.2</v>
      </c>
      <c r="H198" s="62">
        <f t="shared" si="10"/>
        <v>100</v>
      </c>
    </row>
    <row r="199" spans="1:8" ht="38.25">
      <c r="A199" s="50"/>
      <c r="B199" s="65"/>
      <c r="C199" s="65" t="s">
        <v>194</v>
      </c>
      <c r="D199" s="76"/>
      <c r="E199" s="66" t="s">
        <v>195</v>
      </c>
      <c r="F199" s="215">
        <f>F200+F201</f>
        <v>18.2</v>
      </c>
      <c r="G199" s="215">
        <f>G200+G201</f>
        <v>18.2</v>
      </c>
      <c r="H199" s="62">
        <f t="shared" si="10"/>
        <v>100</v>
      </c>
    </row>
    <row r="200" spans="1:8" ht="39.75" customHeight="1">
      <c r="A200" s="50"/>
      <c r="B200" s="65"/>
      <c r="C200" s="50"/>
      <c r="D200" s="69" t="s">
        <v>7</v>
      </c>
      <c r="E200" s="66" t="s">
        <v>549</v>
      </c>
      <c r="F200" s="215">
        <v>12</v>
      </c>
      <c r="G200" s="215">
        <v>12</v>
      </c>
      <c r="H200" s="62">
        <f t="shared" si="10"/>
        <v>100</v>
      </c>
    </row>
    <row r="201" spans="1:8" ht="19.5" customHeight="1">
      <c r="A201" s="50"/>
      <c r="B201" s="65"/>
      <c r="C201" s="50"/>
      <c r="D201" s="65" t="s">
        <v>8</v>
      </c>
      <c r="E201" s="66" t="s">
        <v>9</v>
      </c>
      <c r="F201" s="215">
        <v>6.2</v>
      </c>
      <c r="G201" s="215">
        <v>6.2</v>
      </c>
      <c r="H201" s="62">
        <f t="shared" si="10"/>
        <v>100</v>
      </c>
    </row>
    <row r="202" spans="1:8" ht="27.75" customHeight="1">
      <c r="A202" s="50"/>
      <c r="B202" s="84"/>
      <c r="C202" s="85" t="s">
        <v>196</v>
      </c>
      <c r="D202" s="86"/>
      <c r="E202" s="87" t="s">
        <v>197</v>
      </c>
      <c r="F202" s="217">
        <f>F203</f>
        <v>1968.1</v>
      </c>
      <c r="G202" s="217">
        <f>G203</f>
        <v>1968.1</v>
      </c>
      <c r="H202" s="62">
        <f t="shared" si="10"/>
        <v>100</v>
      </c>
    </row>
    <row r="203" spans="1:8" ht="38.25">
      <c r="A203" s="50"/>
      <c r="B203" s="65"/>
      <c r="C203" s="65" t="s">
        <v>198</v>
      </c>
      <c r="D203" s="50"/>
      <c r="E203" s="66" t="s">
        <v>199</v>
      </c>
      <c r="F203" s="215">
        <f>F204</f>
        <v>1968.1</v>
      </c>
      <c r="G203" s="215">
        <f>G204</f>
        <v>1968.1</v>
      </c>
      <c r="H203" s="62">
        <f t="shared" si="10"/>
        <v>100</v>
      </c>
    </row>
    <row r="204" spans="1:8" ht="51">
      <c r="A204" s="50"/>
      <c r="B204" s="65"/>
      <c r="C204" s="65" t="s">
        <v>200</v>
      </c>
      <c r="D204" s="50"/>
      <c r="E204" s="66" t="s">
        <v>201</v>
      </c>
      <c r="F204" s="215">
        <f>F205+F206+F207+F208</f>
        <v>1968.1</v>
      </c>
      <c r="G204" s="215">
        <f>G205+G206+G207+G208</f>
        <v>1968.1</v>
      </c>
      <c r="H204" s="62">
        <f aca="true" t="shared" si="18" ref="H204:H269">G204/F204*100</f>
        <v>100</v>
      </c>
    </row>
    <row r="205" spans="1:8" ht="77.25" customHeight="1">
      <c r="A205" s="50"/>
      <c r="B205" s="65"/>
      <c r="C205" s="50"/>
      <c r="D205" s="76" t="s">
        <v>4</v>
      </c>
      <c r="E205" s="66" t="s">
        <v>114</v>
      </c>
      <c r="F205" s="215">
        <v>1852.6</v>
      </c>
      <c r="G205" s="215">
        <v>1852.6</v>
      </c>
      <c r="H205" s="62">
        <f t="shared" si="18"/>
        <v>100</v>
      </c>
    </row>
    <row r="206" spans="1:8" ht="36.75" customHeight="1">
      <c r="A206" s="50"/>
      <c r="B206" s="65"/>
      <c r="C206" s="50"/>
      <c r="D206" s="69" t="s">
        <v>7</v>
      </c>
      <c r="E206" s="66" t="s">
        <v>549</v>
      </c>
      <c r="F206" s="215">
        <v>113.4</v>
      </c>
      <c r="G206" s="215">
        <v>113.4</v>
      </c>
      <c r="H206" s="62">
        <f t="shared" si="18"/>
        <v>100</v>
      </c>
    </row>
    <row r="207" spans="1:8" ht="25.5" hidden="1">
      <c r="A207" s="50"/>
      <c r="B207" s="65"/>
      <c r="C207" s="50"/>
      <c r="D207" s="70" t="s">
        <v>14</v>
      </c>
      <c r="E207" s="71" t="s">
        <v>15</v>
      </c>
      <c r="F207" s="215">
        <v>0</v>
      </c>
      <c r="G207" s="215">
        <v>0</v>
      </c>
      <c r="H207" s="62" t="e">
        <f t="shared" si="18"/>
        <v>#DIV/0!</v>
      </c>
    </row>
    <row r="208" spans="1:8" ht="15">
      <c r="A208" s="50"/>
      <c r="B208" s="65"/>
      <c r="C208" s="50"/>
      <c r="D208" s="65" t="s">
        <v>8</v>
      </c>
      <c r="E208" s="66" t="s">
        <v>9</v>
      </c>
      <c r="F208" s="215">
        <v>2.1</v>
      </c>
      <c r="G208" s="215">
        <v>2.1</v>
      </c>
      <c r="H208" s="62">
        <f t="shared" si="18"/>
        <v>100</v>
      </c>
    </row>
    <row r="209" spans="1:8" ht="63.75">
      <c r="A209" s="50"/>
      <c r="B209" s="50"/>
      <c r="C209" s="74" t="s">
        <v>178</v>
      </c>
      <c r="D209" s="65"/>
      <c r="E209" s="66" t="s">
        <v>74</v>
      </c>
      <c r="F209" s="215">
        <f>F210</f>
        <v>15.6</v>
      </c>
      <c r="G209" s="215">
        <f>G210</f>
        <v>4.1</v>
      </c>
      <c r="H209" s="62">
        <f t="shared" si="18"/>
        <v>26.282051282051285</v>
      </c>
    </row>
    <row r="210" spans="1:8" ht="54.75" customHeight="1">
      <c r="A210" s="50"/>
      <c r="B210" s="50"/>
      <c r="C210" s="74" t="s">
        <v>569</v>
      </c>
      <c r="D210" s="65"/>
      <c r="E210" s="66" t="s">
        <v>570</v>
      </c>
      <c r="F210" s="215">
        <f>F211</f>
        <v>15.6</v>
      </c>
      <c r="G210" s="215">
        <f>G211</f>
        <v>4.1</v>
      </c>
      <c r="H210" s="62">
        <f t="shared" si="18"/>
        <v>26.282051282051285</v>
      </c>
    </row>
    <row r="211" spans="1:8" ht="40.5" customHeight="1">
      <c r="A211" s="50"/>
      <c r="B211" s="65"/>
      <c r="C211" s="74"/>
      <c r="D211" s="69" t="s">
        <v>7</v>
      </c>
      <c r="E211" s="66" t="s">
        <v>549</v>
      </c>
      <c r="F211" s="215">
        <v>15.6</v>
      </c>
      <c r="G211" s="215">
        <v>4.1</v>
      </c>
      <c r="H211" s="62">
        <f t="shared" si="18"/>
        <v>26.282051282051285</v>
      </c>
    </row>
    <row r="212" spans="1:8" ht="15">
      <c r="A212" s="50"/>
      <c r="B212" s="65" t="s">
        <v>27</v>
      </c>
      <c r="C212" s="50"/>
      <c r="D212" s="50"/>
      <c r="E212" s="66" t="s">
        <v>72</v>
      </c>
      <c r="F212" s="215">
        <f aca="true" t="shared" si="19" ref="F212:G217">F213</f>
        <v>290.2</v>
      </c>
      <c r="G212" s="215">
        <f t="shared" si="19"/>
        <v>137.6</v>
      </c>
      <c r="H212" s="62">
        <f t="shared" si="18"/>
        <v>47.41557546519641</v>
      </c>
    </row>
    <row r="213" spans="1:8" ht="25.5">
      <c r="A213" s="50"/>
      <c r="B213" s="76" t="s">
        <v>37</v>
      </c>
      <c r="C213" s="50"/>
      <c r="D213" s="65"/>
      <c r="E213" s="67" t="s">
        <v>38</v>
      </c>
      <c r="F213" s="215">
        <f t="shared" si="19"/>
        <v>290.2</v>
      </c>
      <c r="G213" s="215">
        <f t="shared" si="19"/>
        <v>137.6</v>
      </c>
      <c r="H213" s="62">
        <f t="shared" si="18"/>
        <v>47.41557546519641</v>
      </c>
    </row>
    <row r="214" spans="1:8" ht="49.5" customHeight="1">
      <c r="A214" s="50"/>
      <c r="B214" s="76"/>
      <c r="C214" s="65" t="s">
        <v>180</v>
      </c>
      <c r="D214" s="49"/>
      <c r="E214" s="68" t="s">
        <v>80</v>
      </c>
      <c r="F214" s="215">
        <f t="shared" si="19"/>
        <v>290.2</v>
      </c>
      <c r="G214" s="215">
        <f t="shared" si="19"/>
        <v>137.6</v>
      </c>
      <c r="H214" s="62">
        <f t="shared" si="18"/>
        <v>47.41557546519641</v>
      </c>
    </row>
    <row r="215" spans="1:8" ht="38.25">
      <c r="A215" s="50"/>
      <c r="B215" s="76"/>
      <c r="C215" s="65" t="s">
        <v>181</v>
      </c>
      <c r="D215" s="50"/>
      <c r="E215" s="66" t="s">
        <v>182</v>
      </c>
      <c r="F215" s="215">
        <f t="shared" si="19"/>
        <v>290.2</v>
      </c>
      <c r="G215" s="215">
        <f t="shared" si="19"/>
        <v>137.6</v>
      </c>
      <c r="H215" s="62">
        <f t="shared" si="18"/>
        <v>47.41557546519641</v>
      </c>
    </row>
    <row r="216" spans="1:8" ht="26.25" customHeight="1">
      <c r="A216" s="50"/>
      <c r="B216" s="76"/>
      <c r="C216" s="65" t="s">
        <v>228</v>
      </c>
      <c r="D216" s="50"/>
      <c r="E216" s="66" t="s">
        <v>229</v>
      </c>
      <c r="F216" s="215">
        <f t="shared" si="19"/>
        <v>290.2</v>
      </c>
      <c r="G216" s="215">
        <f t="shared" si="19"/>
        <v>137.6</v>
      </c>
      <c r="H216" s="62">
        <f t="shared" si="18"/>
        <v>47.41557546519641</v>
      </c>
    </row>
    <row r="217" spans="1:8" ht="78.75" customHeight="1">
      <c r="A217" s="50"/>
      <c r="B217" s="76"/>
      <c r="C217" s="65" t="s">
        <v>230</v>
      </c>
      <c r="D217" s="50"/>
      <c r="E217" s="66" t="s">
        <v>231</v>
      </c>
      <c r="F217" s="215">
        <f t="shared" si="19"/>
        <v>290.2</v>
      </c>
      <c r="G217" s="215">
        <f t="shared" si="19"/>
        <v>137.6</v>
      </c>
      <c r="H217" s="62">
        <f t="shared" si="18"/>
        <v>47.41557546519641</v>
      </c>
    </row>
    <row r="218" spans="1:8" ht="40.5" customHeight="1">
      <c r="A218" s="50"/>
      <c r="B218" s="76"/>
      <c r="C218" s="65"/>
      <c r="D218" s="69" t="s">
        <v>7</v>
      </c>
      <c r="E218" s="66" t="s">
        <v>549</v>
      </c>
      <c r="F218" s="215">
        <v>290.2</v>
      </c>
      <c r="G218" s="215">
        <v>137.6</v>
      </c>
      <c r="H218" s="62">
        <f t="shared" si="18"/>
        <v>47.41557546519641</v>
      </c>
    </row>
    <row r="219" spans="1:8" ht="25.5">
      <c r="A219" s="63">
        <v>629</v>
      </c>
      <c r="B219" s="50"/>
      <c r="C219" s="50"/>
      <c r="D219" s="50"/>
      <c r="E219" s="64" t="s">
        <v>731</v>
      </c>
      <c r="F219" s="216">
        <f>F220+F234+F329</f>
        <v>100239</v>
      </c>
      <c r="G219" s="216">
        <f>G220+G234+G329</f>
        <v>83703.00000000001</v>
      </c>
      <c r="H219" s="56">
        <f t="shared" si="18"/>
        <v>83.50342680992429</v>
      </c>
    </row>
    <row r="220" spans="1:8" ht="38.25">
      <c r="A220" s="63"/>
      <c r="B220" s="65" t="s">
        <v>26</v>
      </c>
      <c r="C220" s="50"/>
      <c r="D220" s="65"/>
      <c r="E220" s="67" t="s">
        <v>71</v>
      </c>
      <c r="F220" s="218">
        <f aca="true" t="shared" si="20" ref="F220:G222">F221</f>
        <v>53.5</v>
      </c>
      <c r="G220" s="218">
        <f t="shared" si="20"/>
        <v>53.5</v>
      </c>
      <c r="H220" s="62">
        <f t="shared" si="18"/>
        <v>100</v>
      </c>
    </row>
    <row r="221" spans="1:8" ht="38.25">
      <c r="A221" s="63"/>
      <c r="B221" s="65" t="s">
        <v>362</v>
      </c>
      <c r="C221" s="50"/>
      <c r="D221" s="65"/>
      <c r="E221" s="67" t="s">
        <v>365</v>
      </c>
      <c r="F221" s="218">
        <f t="shared" si="20"/>
        <v>53.5</v>
      </c>
      <c r="G221" s="218">
        <f t="shared" si="20"/>
        <v>53.5</v>
      </c>
      <c r="H221" s="62">
        <f t="shared" si="18"/>
        <v>100</v>
      </c>
    </row>
    <row r="222" spans="1:8" ht="51">
      <c r="A222" s="63"/>
      <c r="B222" s="50"/>
      <c r="C222" s="65" t="s">
        <v>630</v>
      </c>
      <c r="D222" s="49"/>
      <c r="E222" s="68" t="s">
        <v>363</v>
      </c>
      <c r="F222" s="215">
        <f t="shared" si="20"/>
        <v>53.5</v>
      </c>
      <c r="G222" s="215">
        <f t="shared" si="20"/>
        <v>53.5</v>
      </c>
      <c r="H222" s="62">
        <f t="shared" si="18"/>
        <v>100</v>
      </c>
    </row>
    <row r="223" spans="1:8" ht="41.25" customHeight="1">
      <c r="A223" s="63"/>
      <c r="B223" s="50"/>
      <c r="C223" s="65" t="s">
        <v>631</v>
      </c>
      <c r="D223" s="50"/>
      <c r="E223" s="66" t="s">
        <v>632</v>
      </c>
      <c r="F223" s="215">
        <f>F224+F229</f>
        <v>53.5</v>
      </c>
      <c r="G223" s="215">
        <f>G224+G229</f>
        <v>53.5</v>
      </c>
      <c r="H223" s="62">
        <f t="shared" si="18"/>
        <v>100</v>
      </c>
    </row>
    <row r="224" spans="1:8" ht="26.25" customHeight="1">
      <c r="A224" s="63"/>
      <c r="B224" s="50"/>
      <c r="C224" s="74" t="s">
        <v>637</v>
      </c>
      <c r="D224" s="50"/>
      <c r="E224" s="66" t="s">
        <v>638</v>
      </c>
      <c r="F224" s="215">
        <f>F225+F227</f>
        <v>20</v>
      </c>
      <c r="G224" s="215">
        <f>G225+G227</f>
        <v>20</v>
      </c>
      <c r="H224" s="62">
        <f t="shared" si="18"/>
        <v>100</v>
      </c>
    </row>
    <row r="225" spans="1:8" ht="38.25">
      <c r="A225" s="63"/>
      <c r="B225" s="50"/>
      <c r="C225" s="74" t="s">
        <v>639</v>
      </c>
      <c r="D225" s="50"/>
      <c r="E225" s="66" t="s">
        <v>640</v>
      </c>
      <c r="F225" s="215">
        <f>F226</f>
        <v>10</v>
      </c>
      <c r="G225" s="215">
        <f>G226</f>
        <v>10</v>
      </c>
      <c r="H225" s="62">
        <f t="shared" si="18"/>
        <v>100</v>
      </c>
    </row>
    <row r="226" spans="1:8" ht="40.5" customHeight="1">
      <c r="A226" s="63"/>
      <c r="B226" s="50"/>
      <c r="C226" s="65"/>
      <c r="D226" s="69" t="s">
        <v>7</v>
      </c>
      <c r="E226" s="66" t="s">
        <v>549</v>
      </c>
      <c r="F226" s="215">
        <v>10</v>
      </c>
      <c r="G226" s="215">
        <v>10</v>
      </c>
      <c r="H226" s="62">
        <f t="shared" si="18"/>
        <v>100</v>
      </c>
    </row>
    <row r="227" spans="1:8" ht="63.75">
      <c r="A227" s="63"/>
      <c r="B227" s="50"/>
      <c r="C227" s="74" t="s">
        <v>641</v>
      </c>
      <c r="D227" s="50"/>
      <c r="E227" s="66" t="s">
        <v>642</v>
      </c>
      <c r="F227" s="215">
        <f>F228</f>
        <v>10</v>
      </c>
      <c r="G227" s="215">
        <f>G228</f>
        <v>10</v>
      </c>
      <c r="H227" s="62">
        <f t="shared" si="18"/>
        <v>100</v>
      </c>
    </row>
    <row r="228" spans="1:8" ht="42" customHeight="1">
      <c r="A228" s="63"/>
      <c r="B228" s="50"/>
      <c r="C228" s="65"/>
      <c r="D228" s="69" t="s">
        <v>7</v>
      </c>
      <c r="E228" s="66" t="s">
        <v>549</v>
      </c>
      <c r="F228" s="215">
        <v>10</v>
      </c>
      <c r="G228" s="215">
        <v>10</v>
      </c>
      <c r="H228" s="62">
        <f t="shared" si="18"/>
        <v>100</v>
      </c>
    </row>
    <row r="229" spans="1:8" ht="38.25">
      <c r="A229" s="63"/>
      <c r="B229" s="50"/>
      <c r="C229" s="65" t="s">
        <v>643</v>
      </c>
      <c r="D229" s="76"/>
      <c r="E229" s="73" t="s">
        <v>368</v>
      </c>
      <c r="F229" s="215">
        <f>+F230+F232</f>
        <v>33.5</v>
      </c>
      <c r="G229" s="215">
        <f>+G230+G232</f>
        <v>33.5</v>
      </c>
      <c r="H229" s="62">
        <f t="shared" si="18"/>
        <v>100</v>
      </c>
    </row>
    <row r="230" spans="1:8" ht="51">
      <c r="A230" s="63"/>
      <c r="B230" s="50"/>
      <c r="C230" s="65" t="s">
        <v>644</v>
      </c>
      <c r="D230" s="50"/>
      <c r="E230" s="80" t="s">
        <v>369</v>
      </c>
      <c r="F230" s="215">
        <f>F231</f>
        <v>20</v>
      </c>
      <c r="G230" s="215">
        <f>G231</f>
        <v>20</v>
      </c>
      <c r="H230" s="62">
        <f t="shared" si="18"/>
        <v>100</v>
      </c>
    </row>
    <row r="231" spans="1:8" ht="41.25" customHeight="1">
      <c r="A231" s="63"/>
      <c r="B231" s="50"/>
      <c r="C231" s="65"/>
      <c r="D231" s="69" t="s">
        <v>7</v>
      </c>
      <c r="E231" s="66" t="s">
        <v>549</v>
      </c>
      <c r="F231" s="215">
        <v>20</v>
      </c>
      <c r="G231" s="215">
        <v>20</v>
      </c>
      <c r="H231" s="62">
        <f t="shared" si="18"/>
        <v>100</v>
      </c>
    </row>
    <row r="232" spans="1:8" ht="25.5">
      <c r="A232" s="63"/>
      <c r="B232" s="50"/>
      <c r="C232" s="65" t="s">
        <v>645</v>
      </c>
      <c r="D232" s="50"/>
      <c r="E232" s="80" t="s">
        <v>370</v>
      </c>
      <c r="F232" s="215">
        <f>F233</f>
        <v>13.5</v>
      </c>
      <c r="G232" s="215">
        <f>G233</f>
        <v>13.5</v>
      </c>
      <c r="H232" s="62">
        <f t="shared" si="18"/>
        <v>100</v>
      </c>
    </row>
    <row r="233" spans="1:8" ht="43.5" customHeight="1">
      <c r="A233" s="63"/>
      <c r="B233" s="50"/>
      <c r="C233" s="65"/>
      <c r="D233" s="69" t="s">
        <v>7</v>
      </c>
      <c r="E233" s="66" t="s">
        <v>549</v>
      </c>
      <c r="F233" s="215">
        <v>13.5</v>
      </c>
      <c r="G233" s="215">
        <v>13.5</v>
      </c>
      <c r="H233" s="62">
        <f t="shared" si="18"/>
        <v>100</v>
      </c>
    </row>
    <row r="234" spans="1:9" ht="15">
      <c r="A234" s="50"/>
      <c r="B234" s="65" t="s">
        <v>44</v>
      </c>
      <c r="C234" s="65"/>
      <c r="D234" s="65"/>
      <c r="E234" s="66" t="s">
        <v>81</v>
      </c>
      <c r="F234" s="215">
        <f>F235+F260+F275+F281+F288</f>
        <v>93455</v>
      </c>
      <c r="G234" s="215">
        <f>G235+G260+G275+G281+G288</f>
        <v>78463.10000000002</v>
      </c>
      <c r="H234" s="62">
        <f t="shared" si="18"/>
        <v>83.958161682093</v>
      </c>
      <c r="I234" s="8"/>
    </row>
    <row r="235" spans="1:9" ht="15">
      <c r="A235" s="50"/>
      <c r="B235" s="65" t="s">
        <v>45</v>
      </c>
      <c r="C235" s="65"/>
      <c r="D235" s="65"/>
      <c r="E235" s="72" t="s">
        <v>46</v>
      </c>
      <c r="F235" s="215">
        <f>F236+F255</f>
        <v>30537.800000000003</v>
      </c>
      <c r="G235" s="215">
        <f>G236+G255</f>
        <v>25836.4</v>
      </c>
      <c r="H235" s="62">
        <f t="shared" si="18"/>
        <v>84.6046539043415</v>
      </c>
      <c r="I235" s="8"/>
    </row>
    <row r="236" spans="1:8" ht="38.25">
      <c r="A236" s="50"/>
      <c r="B236" s="50"/>
      <c r="C236" s="65" t="s">
        <v>237</v>
      </c>
      <c r="D236" s="49"/>
      <c r="E236" s="68" t="s">
        <v>82</v>
      </c>
      <c r="F236" s="215">
        <f>F237+F249</f>
        <v>30512.800000000003</v>
      </c>
      <c r="G236" s="215">
        <f>G237+G249</f>
        <v>25811.4</v>
      </c>
      <c r="H236" s="62">
        <f t="shared" si="18"/>
        <v>84.59204006187568</v>
      </c>
    </row>
    <row r="237" spans="1:8" ht="25.5">
      <c r="A237" s="50"/>
      <c r="B237" s="50"/>
      <c r="C237" s="65" t="s">
        <v>238</v>
      </c>
      <c r="D237" s="49"/>
      <c r="E237" s="68" t="s">
        <v>239</v>
      </c>
      <c r="F237" s="215">
        <f>F238+F246</f>
        <v>13823.900000000001</v>
      </c>
      <c r="G237" s="215">
        <f>G238+G246</f>
        <v>11188.5</v>
      </c>
      <c r="H237" s="62">
        <f t="shared" si="18"/>
        <v>80.93591533503569</v>
      </c>
    </row>
    <row r="238" spans="1:8" ht="63.75">
      <c r="A238" s="50"/>
      <c r="B238" s="50"/>
      <c r="C238" s="65" t="s">
        <v>240</v>
      </c>
      <c r="D238" s="49"/>
      <c r="E238" s="68" t="s">
        <v>241</v>
      </c>
      <c r="F238" s="215">
        <f>F239+F241+F244</f>
        <v>13712.7</v>
      </c>
      <c r="G238" s="215">
        <f>G239+G241+G244</f>
        <v>11077.3</v>
      </c>
      <c r="H238" s="62">
        <f t="shared" si="18"/>
        <v>80.78131950673463</v>
      </c>
    </row>
    <row r="239" spans="1:8" ht="63.75">
      <c r="A239" s="50"/>
      <c r="B239" s="50"/>
      <c r="C239" s="65" t="s">
        <v>300</v>
      </c>
      <c r="D239" s="49"/>
      <c r="E239" s="68" t="s">
        <v>301</v>
      </c>
      <c r="F239" s="215">
        <f>F240</f>
        <v>3019.6</v>
      </c>
      <c r="G239" s="215">
        <f>G240</f>
        <v>3019.6</v>
      </c>
      <c r="H239" s="62">
        <f t="shared" si="18"/>
        <v>100</v>
      </c>
    </row>
    <row r="240" spans="1:8" ht="38.25">
      <c r="A240" s="50"/>
      <c r="B240" s="50"/>
      <c r="C240" s="65"/>
      <c r="D240" s="65" t="s">
        <v>35</v>
      </c>
      <c r="E240" s="66" t="s">
        <v>83</v>
      </c>
      <c r="F240" s="215">
        <v>3019.6</v>
      </c>
      <c r="G240" s="215">
        <v>3019.6</v>
      </c>
      <c r="H240" s="62">
        <f t="shared" si="18"/>
        <v>100</v>
      </c>
    </row>
    <row r="241" spans="1:8" ht="38.25">
      <c r="A241" s="50"/>
      <c r="B241" s="50"/>
      <c r="C241" s="65" t="s">
        <v>648</v>
      </c>
      <c r="D241" s="50"/>
      <c r="E241" s="68" t="s">
        <v>649</v>
      </c>
      <c r="F241" s="215">
        <f>F242+F243</f>
        <v>9633.1</v>
      </c>
      <c r="G241" s="215">
        <f>G242+G243</f>
        <v>7792.7</v>
      </c>
      <c r="H241" s="62">
        <f t="shared" si="18"/>
        <v>80.8950389801829</v>
      </c>
    </row>
    <row r="242" spans="1:8" ht="25.5">
      <c r="A242" s="50"/>
      <c r="B242" s="50"/>
      <c r="C242" s="65"/>
      <c r="D242" s="69" t="s">
        <v>14</v>
      </c>
      <c r="E242" s="73" t="s">
        <v>15</v>
      </c>
      <c r="F242" s="215">
        <v>69.2</v>
      </c>
      <c r="G242" s="215">
        <v>48.5</v>
      </c>
      <c r="H242" s="62">
        <f t="shared" si="18"/>
        <v>70.08670520231213</v>
      </c>
    </row>
    <row r="243" spans="1:8" ht="38.25">
      <c r="A243" s="50"/>
      <c r="B243" s="50"/>
      <c r="C243" s="50"/>
      <c r="D243" s="65" t="s">
        <v>35</v>
      </c>
      <c r="E243" s="66" t="s">
        <v>83</v>
      </c>
      <c r="F243" s="215">
        <v>9563.9</v>
      </c>
      <c r="G243" s="215">
        <v>7744.2</v>
      </c>
      <c r="H243" s="62">
        <f t="shared" si="18"/>
        <v>80.9732431330315</v>
      </c>
    </row>
    <row r="244" spans="1:8" ht="63.75">
      <c r="A244" s="50"/>
      <c r="B244" s="50"/>
      <c r="C244" s="65" t="s">
        <v>995</v>
      </c>
      <c r="D244" s="65"/>
      <c r="E244" s="66" t="s">
        <v>236</v>
      </c>
      <c r="F244" s="215">
        <f>F245</f>
        <v>1060</v>
      </c>
      <c r="G244" s="215">
        <f>G245</f>
        <v>265</v>
      </c>
      <c r="H244" s="62">
        <f t="shared" si="18"/>
        <v>25</v>
      </c>
    </row>
    <row r="245" spans="1:8" ht="38.25">
      <c r="A245" s="50"/>
      <c r="B245" s="50"/>
      <c r="C245" s="50"/>
      <c r="D245" s="65" t="s">
        <v>35</v>
      </c>
      <c r="E245" s="66" t="s">
        <v>83</v>
      </c>
      <c r="F245" s="215">
        <v>1060</v>
      </c>
      <c r="G245" s="215">
        <v>265</v>
      </c>
      <c r="H245" s="62">
        <f t="shared" si="18"/>
        <v>25</v>
      </c>
    </row>
    <row r="246" spans="1:8" ht="29.25" customHeight="1">
      <c r="A246" s="50"/>
      <c r="B246" s="50"/>
      <c r="C246" s="65" t="s">
        <v>302</v>
      </c>
      <c r="D246" s="50"/>
      <c r="E246" s="68" t="s">
        <v>303</v>
      </c>
      <c r="F246" s="215">
        <f>F247</f>
        <v>111.2</v>
      </c>
      <c r="G246" s="215">
        <f>G247</f>
        <v>111.2</v>
      </c>
      <c r="H246" s="62">
        <f t="shared" si="18"/>
        <v>100</v>
      </c>
    </row>
    <row r="247" spans="1:8" ht="38.25">
      <c r="A247" s="50"/>
      <c r="B247" s="50"/>
      <c r="C247" s="65" t="s">
        <v>650</v>
      </c>
      <c r="D247" s="65"/>
      <c r="E247" s="68" t="s">
        <v>649</v>
      </c>
      <c r="F247" s="215">
        <f>F248</f>
        <v>111.2</v>
      </c>
      <c r="G247" s="215">
        <f>G248</f>
        <v>111.2</v>
      </c>
      <c r="H247" s="62">
        <f t="shared" si="18"/>
        <v>100</v>
      </c>
    </row>
    <row r="248" spans="1:8" ht="38.25">
      <c r="A248" s="50"/>
      <c r="B248" s="50"/>
      <c r="C248" s="50"/>
      <c r="D248" s="65" t="s">
        <v>35</v>
      </c>
      <c r="E248" s="66" t="s">
        <v>83</v>
      </c>
      <c r="F248" s="215">
        <v>111.2</v>
      </c>
      <c r="G248" s="215">
        <v>111.2</v>
      </c>
      <c r="H248" s="62">
        <f t="shared" si="18"/>
        <v>100</v>
      </c>
    </row>
    <row r="249" spans="1:8" ht="38.25">
      <c r="A249" s="50"/>
      <c r="B249" s="50"/>
      <c r="C249" s="65" t="s">
        <v>244</v>
      </c>
      <c r="D249" s="65"/>
      <c r="E249" s="66" t="s">
        <v>245</v>
      </c>
      <c r="F249" s="215">
        <f>F250</f>
        <v>16688.9</v>
      </c>
      <c r="G249" s="215">
        <f>G250</f>
        <v>14622.9</v>
      </c>
      <c r="H249" s="62">
        <f t="shared" si="18"/>
        <v>87.62051423401182</v>
      </c>
    </row>
    <row r="250" spans="1:8" ht="102">
      <c r="A250" s="50"/>
      <c r="B250" s="50"/>
      <c r="C250" s="65" t="s">
        <v>246</v>
      </c>
      <c r="D250" s="65"/>
      <c r="E250" s="66" t="s">
        <v>247</v>
      </c>
      <c r="F250" s="215">
        <f>F251+F253</f>
        <v>16688.9</v>
      </c>
      <c r="G250" s="215">
        <f>G251+G253</f>
        <v>14622.9</v>
      </c>
      <c r="H250" s="62">
        <f t="shared" si="18"/>
        <v>87.62051423401182</v>
      </c>
    </row>
    <row r="251" spans="1:8" ht="114.75">
      <c r="A251" s="50"/>
      <c r="B251" s="50"/>
      <c r="C251" s="65" t="s">
        <v>304</v>
      </c>
      <c r="D251" s="65"/>
      <c r="E251" s="66" t="s">
        <v>305</v>
      </c>
      <c r="F251" s="215">
        <f>F252</f>
        <v>4719.5</v>
      </c>
      <c r="G251" s="215">
        <f>G252</f>
        <v>4719.5</v>
      </c>
      <c r="H251" s="62">
        <f t="shared" si="18"/>
        <v>100</v>
      </c>
    </row>
    <row r="252" spans="1:8" ht="38.25">
      <c r="A252" s="50"/>
      <c r="B252" s="50"/>
      <c r="C252" s="65"/>
      <c r="D252" s="65" t="s">
        <v>35</v>
      </c>
      <c r="E252" s="66" t="s">
        <v>83</v>
      </c>
      <c r="F252" s="215">
        <v>4719.5</v>
      </c>
      <c r="G252" s="215">
        <v>4719.5</v>
      </c>
      <c r="H252" s="62">
        <f t="shared" si="18"/>
        <v>100</v>
      </c>
    </row>
    <row r="253" spans="1:8" ht="38.25">
      <c r="A253" s="50"/>
      <c r="B253" s="50"/>
      <c r="C253" s="65" t="s">
        <v>651</v>
      </c>
      <c r="D253" s="65"/>
      <c r="E253" s="68" t="s">
        <v>649</v>
      </c>
      <c r="F253" s="215">
        <f>F254</f>
        <v>11969.4</v>
      </c>
      <c r="G253" s="215">
        <f>G254</f>
        <v>9903.4</v>
      </c>
      <c r="H253" s="62">
        <f t="shared" si="18"/>
        <v>82.7393185957525</v>
      </c>
    </row>
    <row r="254" spans="1:8" ht="38.25">
      <c r="A254" s="50"/>
      <c r="B254" s="50"/>
      <c r="C254" s="65"/>
      <c r="D254" s="65" t="s">
        <v>35</v>
      </c>
      <c r="E254" s="66" t="s">
        <v>83</v>
      </c>
      <c r="F254" s="215">
        <v>11969.4</v>
      </c>
      <c r="G254" s="215">
        <v>9903.4</v>
      </c>
      <c r="H254" s="62">
        <f t="shared" si="18"/>
        <v>82.7393185957525</v>
      </c>
    </row>
    <row r="255" spans="1:8" ht="64.5" customHeight="1">
      <c r="A255" s="50"/>
      <c r="B255" s="50"/>
      <c r="C255" s="65" t="s">
        <v>615</v>
      </c>
      <c r="D255" s="49"/>
      <c r="E255" s="66" t="s">
        <v>616</v>
      </c>
      <c r="F255" s="218">
        <f aca="true" t="shared" si="21" ref="F255:G258">F256</f>
        <v>25</v>
      </c>
      <c r="G255" s="218">
        <f t="shared" si="21"/>
        <v>25</v>
      </c>
      <c r="H255" s="62">
        <f t="shared" si="18"/>
        <v>100</v>
      </c>
    </row>
    <row r="256" spans="1:8" ht="52.5" customHeight="1">
      <c r="A256" s="50"/>
      <c r="B256" s="50"/>
      <c r="C256" s="65" t="s">
        <v>653</v>
      </c>
      <c r="D256" s="50"/>
      <c r="E256" s="66" t="s">
        <v>654</v>
      </c>
      <c r="F256" s="218">
        <f t="shared" si="21"/>
        <v>25</v>
      </c>
      <c r="G256" s="218">
        <f t="shared" si="21"/>
        <v>25</v>
      </c>
      <c r="H256" s="62">
        <f t="shared" si="18"/>
        <v>100</v>
      </c>
    </row>
    <row r="257" spans="1:8" ht="38.25" customHeight="1">
      <c r="A257" s="50"/>
      <c r="B257" s="50"/>
      <c r="C257" s="65" t="s">
        <v>655</v>
      </c>
      <c r="D257" s="76"/>
      <c r="E257" s="73" t="s">
        <v>656</v>
      </c>
      <c r="F257" s="218">
        <f t="shared" si="21"/>
        <v>25</v>
      </c>
      <c r="G257" s="218">
        <f t="shared" si="21"/>
        <v>25</v>
      </c>
      <c r="H257" s="62">
        <f t="shared" si="18"/>
        <v>100</v>
      </c>
    </row>
    <row r="258" spans="1:8" ht="25.5">
      <c r="A258" s="50"/>
      <c r="B258" s="50"/>
      <c r="C258" s="65" t="s">
        <v>373</v>
      </c>
      <c r="D258" s="50"/>
      <c r="E258" s="80" t="s">
        <v>374</v>
      </c>
      <c r="F258" s="218">
        <f t="shared" si="21"/>
        <v>25</v>
      </c>
      <c r="G258" s="218">
        <f t="shared" si="21"/>
        <v>25</v>
      </c>
      <c r="H258" s="62">
        <f t="shared" si="18"/>
        <v>100</v>
      </c>
    </row>
    <row r="259" spans="1:8" ht="38.25">
      <c r="A259" s="50"/>
      <c r="B259" s="50"/>
      <c r="C259" s="65"/>
      <c r="D259" s="69" t="s">
        <v>35</v>
      </c>
      <c r="E259" s="73" t="s">
        <v>36</v>
      </c>
      <c r="F259" s="218">
        <v>25</v>
      </c>
      <c r="G259" s="215">
        <v>25</v>
      </c>
      <c r="H259" s="62">
        <f t="shared" si="18"/>
        <v>100</v>
      </c>
    </row>
    <row r="260" spans="1:8" ht="15">
      <c r="A260" s="50"/>
      <c r="B260" s="65" t="s">
        <v>47</v>
      </c>
      <c r="C260" s="65"/>
      <c r="D260" s="65"/>
      <c r="E260" s="66" t="s">
        <v>48</v>
      </c>
      <c r="F260" s="215">
        <f>F261</f>
        <v>53987.399999999994</v>
      </c>
      <c r="G260" s="215">
        <f>G261</f>
        <v>46200.7</v>
      </c>
      <c r="H260" s="62">
        <f t="shared" si="18"/>
        <v>85.57681977646637</v>
      </c>
    </row>
    <row r="261" spans="1:8" ht="38.25">
      <c r="A261" s="50"/>
      <c r="B261" s="65"/>
      <c r="C261" s="65" t="s">
        <v>237</v>
      </c>
      <c r="D261" s="49"/>
      <c r="E261" s="68" t="s">
        <v>82</v>
      </c>
      <c r="F261" s="215">
        <f>F262</f>
        <v>53987.399999999994</v>
      </c>
      <c r="G261" s="215">
        <f>G262</f>
        <v>46200.7</v>
      </c>
      <c r="H261" s="62">
        <f t="shared" si="18"/>
        <v>85.57681977646637</v>
      </c>
    </row>
    <row r="262" spans="1:8" ht="38.25">
      <c r="A262" s="50"/>
      <c r="B262" s="50"/>
      <c r="C262" s="65" t="s">
        <v>244</v>
      </c>
      <c r="D262" s="65"/>
      <c r="E262" s="66" t="s">
        <v>245</v>
      </c>
      <c r="F262" s="215">
        <f>F263+F270</f>
        <v>53987.399999999994</v>
      </c>
      <c r="G262" s="215">
        <f>G263+G270</f>
        <v>46200.7</v>
      </c>
      <c r="H262" s="62">
        <f t="shared" si="18"/>
        <v>85.57681977646637</v>
      </c>
    </row>
    <row r="263" spans="1:10" ht="102">
      <c r="A263" s="50"/>
      <c r="B263" s="81"/>
      <c r="C263" s="65" t="s">
        <v>246</v>
      </c>
      <c r="D263" s="65"/>
      <c r="E263" s="66" t="s">
        <v>247</v>
      </c>
      <c r="F263" s="215">
        <f>F264+F266+F268</f>
        <v>52754.899999999994</v>
      </c>
      <c r="G263" s="215">
        <f>G264+G266+G268</f>
        <v>45027.5</v>
      </c>
      <c r="H263" s="62">
        <f t="shared" si="18"/>
        <v>85.35226111697682</v>
      </c>
      <c r="J263" s="3"/>
    </row>
    <row r="264" spans="1:8" ht="114.75">
      <c r="A264" s="50"/>
      <c r="B264" s="65"/>
      <c r="C264" s="65" t="s">
        <v>304</v>
      </c>
      <c r="D264" s="65"/>
      <c r="E264" s="66" t="s">
        <v>305</v>
      </c>
      <c r="F264" s="215">
        <f>F265</f>
        <v>11213.6</v>
      </c>
      <c r="G264" s="215">
        <f>G265</f>
        <v>11213.6</v>
      </c>
      <c r="H264" s="62">
        <f t="shared" si="18"/>
        <v>100</v>
      </c>
    </row>
    <row r="265" spans="1:8" ht="38.25">
      <c r="A265" s="50"/>
      <c r="B265" s="50"/>
      <c r="C265" s="65"/>
      <c r="D265" s="65" t="s">
        <v>35</v>
      </c>
      <c r="E265" s="66" t="s">
        <v>83</v>
      </c>
      <c r="F265" s="215">
        <v>11213.6</v>
      </c>
      <c r="G265" s="215">
        <v>11213.6</v>
      </c>
      <c r="H265" s="62">
        <f t="shared" si="18"/>
        <v>100</v>
      </c>
    </row>
    <row r="266" spans="1:8" ht="38.25">
      <c r="A266" s="50"/>
      <c r="B266" s="50"/>
      <c r="C266" s="65" t="s">
        <v>248</v>
      </c>
      <c r="D266" s="65"/>
      <c r="E266" s="68" t="s">
        <v>243</v>
      </c>
      <c r="F266" s="215">
        <f>F267</f>
        <v>259.6</v>
      </c>
      <c r="G266" s="215">
        <f>G267</f>
        <v>202.2</v>
      </c>
      <c r="H266" s="62">
        <f t="shared" si="18"/>
        <v>77.88906009244991</v>
      </c>
    </row>
    <row r="267" spans="1:8" ht="38.25">
      <c r="A267" s="50"/>
      <c r="B267" s="50"/>
      <c r="C267" s="65"/>
      <c r="D267" s="65" t="s">
        <v>35</v>
      </c>
      <c r="E267" s="66" t="s">
        <v>83</v>
      </c>
      <c r="F267" s="215">
        <v>259.6</v>
      </c>
      <c r="G267" s="215">
        <v>202.2</v>
      </c>
      <c r="H267" s="62">
        <f t="shared" si="18"/>
        <v>77.88906009244991</v>
      </c>
    </row>
    <row r="268" spans="1:8" ht="38.25">
      <c r="A268" s="50"/>
      <c r="B268" s="50"/>
      <c r="C268" s="65" t="s">
        <v>651</v>
      </c>
      <c r="D268" s="65"/>
      <c r="E268" s="68" t="s">
        <v>649</v>
      </c>
      <c r="F268" s="215">
        <f>F269</f>
        <v>41281.7</v>
      </c>
      <c r="G268" s="215">
        <f>G269</f>
        <v>33611.7</v>
      </c>
      <c r="H268" s="62">
        <f t="shared" si="18"/>
        <v>81.42033879418726</v>
      </c>
    </row>
    <row r="269" spans="1:8" ht="38.25">
      <c r="A269" s="50"/>
      <c r="B269" s="50"/>
      <c r="C269" s="65"/>
      <c r="D269" s="65" t="s">
        <v>35</v>
      </c>
      <c r="E269" s="66" t="s">
        <v>83</v>
      </c>
      <c r="F269" s="215">
        <v>41281.7</v>
      </c>
      <c r="G269" s="215">
        <v>33611.7</v>
      </c>
      <c r="H269" s="62">
        <f t="shared" si="18"/>
        <v>81.42033879418726</v>
      </c>
    </row>
    <row r="270" spans="1:8" ht="26.25" customHeight="1">
      <c r="A270" s="50"/>
      <c r="B270" s="50"/>
      <c r="C270" s="65" t="s">
        <v>306</v>
      </c>
      <c r="D270" s="65"/>
      <c r="E270" s="66" t="s">
        <v>303</v>
      </c>
      <c r="F270" s="215">
        <f>F271+F273</f>
        <v>1232.5</v>
      </c>
      <c r="G270" s="215">
        <f>G271+G273</f>
        <v>1173.2</v>
      </c>
      <c r="H270" s="62">
        <f aca="true" t="shared" si="22" ref="H270:H299">G270/F270*100</f>
        <v>95.18864097363084</v>
      </c>
    </row>
    <row r="271" spans="1:8" ht="38.25">
      <c r="A271" s="50"/>
      <c r="B271" s="50"/>
      <c r="C271" s="65" t="s">
        <v>652</v>
      </c>
      <c r="D271" s="65"/>
      <c r="E271" s="68" t="s">
        <v>649</v>
      </c>
      <c r="F271" s="215">
        <f>F272</f>
        <v>1147.6</v>
      </c>
      <c r="G271" s="215">
        <f>G272</f>
        <v>1088.3</v>
      </c>
      <c r="H271" s="62">
        <f t="shared" si="22"/>
        <v>94.83269431857791</v>
      </c>
    </row>
    <row r="272" spans="1:8" ht="38.25">
      <c r="A272" s="50"/>
      <c r="B272" s="50"/>
      <c r="C272" s="65"/>
      <c r="D272" s="65" t="s">
        <v>35</v>
      </c>
      <c r="E272" s="66" t="s">
        <v>83</v>
      </c>
      <c r="F272" s="215">
        <v>1147.6</v>
      </c>
      <c r="G272" s="215">
        <v>1088.3</v>
      </c>
      <c r="H272" s="62">
        <f t="shared" si="22"/>
        <v>94.83269431857791</v>
      </c>
    </row>
    <row r="273" spans="1:8" ht="38.25">
      <c r="A273" s="50"/>
      <c r="B273" s="50"/>
      <c r="C273" s="65" t="s">
        <v>996</v>
      </c>
      <c r="D273" s="65"/>
      <c r="E273" s="66" t="s">
        <v>997</v>
      </c>
      <c r="F273" s="215">
        <f>F274</f>
        <v>84.9</v>
      </c>
      <c r="G273" s="215">
        <f>G274</f>
        <v>84.9</v>
      </c>
      <c r="H273" s="62">
        <f t="shared" si="22"/>
        <v>100</v>
      </c>
    </row>
    <row r="274" spans="1:8" ht="15">
      <c r="A274" s="50"/>
      <c r="B274" s="50"/>
      <c r="C274" s="65"/>
      <c r="D274" s="65" t="s">
        <v>35</v>
      </c>
      <c r="E274" s="66"/>
      <c r="F274" s="215">
        <v>84.9</v>
      </c>
      <c r="G274" s="215">
        <v>84.9</v>
      </c>
      <c r="H274" s="62">
        <f t="shared" si="22"/>
        <v>100</v>
      </c>
    </row>
    <row r="275" spans="1:8" ht="15">
      <c r="A275" s="50"/>
      <c r="B275" s="65" t="s">
        <v>657</v>
      </c>
      <c r="C275" s="65"/>
      <c r="D275" s="65"/>
      <c r="E275" s="66" t="s">
        <v>658</v>
      </c>
      <c r="F275" s="215">
        <f aca="true" t="shared" si="23" ref="F275:G279">F276</f>
        <v>829.6</v>
      </c>
      <c r="G275" s="215">
        <f t="shared" si="23"/>
        <v>829.6</v>
      </c>
      <c r="H275" s="62">
        <f t="shared" si="22"/>
        <v>100</v>
      </c>
    </row>
    <row r="276" spans="1:8" ht="38.25">
      <c r="A276" s="50"/>
      <c r="B276" s="50"/>
      <c r="C276" s="65" t="s">
        <v>237</v>
      </c>
      <c r="D276" s="49"/>
      <c r="E276" s="68" t="s">
        <v>82</v>
      </c>
      <c r="F276" s="215">
        <f t="shared" si="23"/>
        <v>829.6</v>
      </c>
      <c r="G276" s="215">
        <f t="shared" si="23"/>
        <v>829.6</v>
      </c>
      <c r="H276" s="62">
        <f t="shared" si="22"/>
        <v>100</v>
      </c>
    </row>
    <row r="277" spans="1:8" ht="38.25">
      <c r="A277" s="50"/>
      <c r="B277" s="50"/>
      <c r="C277" s="65" t="s">
        <v>249</v>
      </c>
      <c r="D277" s="50"/>
      <c r="E277" s="68" t="s">
        <v>250</v>
      </c>
      <c r="F277" s="215">
        <f t="shared" si="23"/>
        <v>829.6</v>
      </c>
      <c r="G277" s="215">
        <f t="shared" si="23"/>
        <v>829.6</v>
      </c>
      <c r="H277" s="62">
        <f t="shared" si="22"/>
        <v>100</v>
      </c>
    </row>
    <row r="278" spans="1:8" ht="59.25" customHeight="1">
      <c r="A278" s="50"/>
      <c r="B278" s="50"/>
      <c r="C278" s="65" t="s">
        <v>251</v>
      </c>
      <c r="D278" s="65"/>
      <c r="E278" s="66" t="s">
        <v>252</v>
      </c>
      <c r="F278" s="215">
        <f t="shared" si="23"/>
        <v>829.6</v>
      </c>
      <c r="G278" s="215">
        <f t="shared" si="23"/>
        <v>829.6</v>
      </c>
      <c r="H278" s="62">
        <f t="shared" si="22"/>
        <v>100</v>
      </c>
    </row>
    <row r="279" spans="1:8" ht="67.5" customHeight="1">
      <c r="A279" s="50"/>
      <c r="B279" s="50"/>
      <c r="C279" s="65" t="s">
        <v>307</v>
      </c>
      <c r="D279" s="69"/>
      <c r="E279" s="73" t="s">
        <v>308</v>
      </c>
      <c r="F279" s="215">
        <f t="shared" si="23"/>
        <v>829.6</v>
      </c>
      <c r="G279" s="215">
        <f t="shared" si="23"/>
        <v>829.6</v>
      </c>
      <c r="H279" s="62">
        <f t="shared" si="22"/>
        <v>100</v>
      </c>
    </row>
    <row r="280" spans="1:8" ht="38.25">
      <c r="A280" s="50"/>
      <c r="B280" s="50"/>
      <c r="C280" s="50"/>
      <c r="D280" s="65" t="s">
        <v>35</v>
      </c>
      <c r="E280" s="66" t="s">
        <v>83</v>
      </c>
      <c r="F280" s="215">
        <v>829.6</v>
      </c>
      <c r="G280" s="215">
        <v>829.6</v>
      </c>
      <c r="H280" s="62">
        <f t="shared" si="22"/>
        <v>100</v>
      </c>
    </row>
    <row r="281" spans="1:8" ht="15" customHeight="1">
      <c r="A281" s="50"/>
      <c r="B281" s="65" t="s">
        <v>49</v>
      </c>
      <c r="C281" s="65"/>
      <c r="D281" s="50"/>
      <c r="E281" s="68" t="s">
        <v>253</v>
      </c>
      <c r="F281" s="215">
        <f aca="true" t="shared" si="24" ref="F281:G284">F282</f>
        <v>192.8</v>
      </c>
      <c r="G281" s="215">
        <f t="shared" si="24"/>
        <v>189.6</v>
      </c>
      <c r="H281" s="62">
        <f t="shared" si="22"/>
        <v>98.3402489626556</v>
      </c>
    </row>
    <row r="282" spans="1:8" ht="38.25">
      <c r="A282" s="50"/>
      <c r="B282" s="65"/>
      <c r="C282" s="65" t="s">
        <v>237</v>
      </c>
      <c r="D282" s="49"/>
      <c r="E282" s="68" t="s">
        <v>82</v>
      </c>
      <c r="F282" s="215">
        <f t="shared" si="24"/>
        <v>192.8</v>
      </c>
      <c r="G282" s="215">
        <f t="shared" si="24"/>
        <v>189.6</v>
      </c>
      <c r="H282" s="62">
        <f t="shared" si="22"/>
        <v>98.3402489626556</v>
      </c>
    </row>
    <row r="283" spans="1:8" ht="26.25" customHeight="1">
      <c r="A283" s="50"/>
      <c r="B283" s="50"/>
      <c r="C283" s="65" t="s">
        <v>309</v>
      </c>
      <c r="D283" s="65"/>
      <c r="E283" s="68" t="s">
        <v>310</v>
      </c>
      <c r="F283" s="215">
        <f t="shared" si="24"/>
        <v>192.8</v>
      </c>
      <c r="G283" s="215">
        <f t="shared" si="24"/>
        <v>189.6</v>
      </c>
      <c r="H283" s="62">
        <f t="shared" si="22"/>
        <v>98.3402489626556</v>
      </c>
    </row>
    <row r="284" spans="1:8" ht="51" customHeight="1">
      <c r="A284" s="50"/>
      <c r="B284" s="50"/>
      <c r="C284" s="65" t="s">
        <v>311</v>
      </c>
      <c r="D284" s="50"/>
      <c r="E284" s="68" t="s">
        <v>312</v>
      </c>
      <c r="F284" s="215">
        <f t="shared" si="24"/>
        <v>192.8</v>
      </c>
      <c r="G284" s="215">
        <f t="shared" si="24"/>
        <v>189.6</v>
      </c>
      <c r="H284" s="62">
        <f t="shared" si="22"/>
        <v>98.3402489626556</v>
      </c>
    </row>
    <row r="285" spans="1:8" ht="25.5">
      <c r="A285" s="50"/>
      <c r="B285" s="50"/>
      <c r="C285" s="65" t="s">
        <v>659</v>
      </c>
      <c r="D285" s="50"/>
      <c r="E285" s="88" t="s">
        <v>315</v>
      </c>
      <c r="F285" s="215">
        <f>F286+F287</f>
        <v>192.8</v>
      </c>
      <c r="G285" s="215">
        <f>G286+G287</f>
        <v>189.6</v>
      </c>
      <c r="H285" s="62">
        <f t="shared" si="22"/>
        <v>98.3402489626556</v>
      </c>
    </row>
    <row r="286" spans="1:8" ht="25.5">
      <c r="A286" s="50"/>
      <c r="B286" s="50"/>
      <c r="C286" s="65"/>
      <c r="D286" s="69" t="s">
        <v>14</v>
      </c>
      <c r="E286" s="73" t="s">
        <v>15</v>
      </c>
      <c r="F286" s="215">
        <v>107.5</v>
      </c>
      <c r="G286" s="215">
        <v>104.3</v>
      </c>
      <c r="H286" s="62">
        <f t="shared" si="22"/>
        <v>97.0232558139535</v>
      </c>
    </row>
    <row r="287" spans="1:8" ht="15">
      <c r="A287" s="50"/>
      <c r="B287" s="50"/>
      <c r="C287" s="65"/>
      <c r="D287" s="76" t="s">
        <v>8</v>
      </c>
      <c r="E287" s="73" t="s">
        <v>9</v>
      </c>
      <c r="F287" s="215">
        <f>307-174.2-47.5</f>
        <v>85.30000000000001</v>
      </c>
      <c r="G287" s="215">
        <v>85.3</v>
      </c>
      <c r="H287" s="62">
        <f t="shared" si="22"/>
        <v>99.99999999999997</v>
      </c>
    </row>
    <row r="288" spans="1:8" ht="15">
      <c r="A288" s="50"/>
      <c r="B288" s="65" t="s">
        <v>50</v>
      </c>
      <c r="C288" s="50"/>
      <c r="D288" s="65"/>
      <c r="E288" s="66" t="s">
        <v>51</v>
      </c>
      <c r="F288" s="215">
        <f>F289+F317</f>
        <v>7907.400000000001</v>
      </c>
      <c r="G288" s="215">
        <f>G289+G317</f>
        <v>5406.8</v>
      </c>
      <c r="H288" s="62">
        <f t="shared" si="22"/>
        <v>68.37645749551054</v>
      </c>
    </row>
    <row r="289" spans="1:8" ht="38.25">
      <c r="A289" s="50"/>
      <c r="B289" s="50"/>
      <c r="C289" s="65" t="s">
        <v>237</v>
      </c>
      <c r="D289" s="49"/>
      <c r="E289" s="68" t="s">
        <v>82</v>
      </c>
      <c r="F289" s="215">
        <f>F290+F295+F300+F304</f>
        <v>7817.8</v>
      </c>
      <c r="G289" s="215">
        <f>G290+G295+G300+G304</f>
        <v>5371.6</v>
      </c>
      <c r="H289" s="62">
        <f t="shared" si="22"/>
        <v>68.70986722607384</v>
      </c>
    </row>
    <row r="290" spans="1:8" ht="25.5">
      <c r="A290" s="50"/>
      <c r="B290" s="50"/>
      <c r="C290" s="65" t="s">
        <v>238</v>
      </c>
      <c r="D290" s="49"/>
      <c r="E290" s="68" t="s">
        <v>239</v>
      </c>
      <c r="F290" s="215">
        <f>F291</f>
        <v>32.3</v>
      </c>
      <c r="G290" s="215">
        <f>G291</f>
        <v>21.5</v>
      </c>
      <c r="H290" s="62">
        <f t="shared" si="22"/>
        <v>66.56346749226006</v>
      </c>
    </row>
    <row r="291" spans="1:8" ht="28.5" customHeight="1">
      <c r="A291" s="50"/>
      <c r="B291" s="50"/>
      <c r="C291" s="65" t="s">
        <v>302</v>
      </c>
      <c r="D291" s="50"/>
      <c r="E291" s="68" t="s">
        <v>303</v>
      </c>
      <c r="F291" s="215">
        <f>F292</f>
        <v>32.3</v>
      </c>
      <c r="G291" s="215">
        <f>G292</f>
        <v>21.5</v>
      </c>
      <c r="H291" s="62">
        <f t="shared" si="22"/>
        <v>66.56346749226006</v>
      </c>
    </row>
    <row r="292" spans="1:8" ht="41.25" customHeight="1">
      <c r="A292" s="50"/>
      <c r="B292" s="50"/>
      <c r="C292" s="65" t="s">
        <v>650</v>
      </c>
      <c r="D292" s="65"/>
      <c r="E292" s="68" t="s">
        <v>649</v>
      </c>
      <c r="F292" s="215">
        <f>F293+F294</f>
        <v>32.3</v>
      </c>
      <c r="G292" s="215">
        <f>G293+G294</f>
        <v>21.5</v>
      </c>
      <c r="H292" s="62">
        <f t="shared" si="22"/>
        <v>66.56346749226006</v>
      </c>
    </row>
    <row r="293" spans="1:8" ht="42.75" customHeight="1">
      <c r="A293" s="50"/>
      <c r="B293" s="50"/>
      <c r="C293" s="65"/>
      <c r="D293" s="69" t="s">
        <v>7</v>
      </c>
      <c r="E293" s="66" t="s">
        <v>549</v>
      </c>
      <c r="F293" s="215">
        <v>13.6</v>
      </c>
      <c r="G293" s="215">
        <v>2.8</v>
      </c>
      <c r="H293" s="62">
        <f t="shared" si="22"/>
        <v>20.588235294117645</v>
      </c>
    </row>
    <row r="294" spans="1:8" ht="38.25">
      <c r="A294" s="50"/>
      <c r="B294" s="65"/>
      <c r="C294" s="50"/>
      <c r="D294" s="65" t="s">
        <v>35</v>
      </c>
      <c r="E294" s="66" t="s">
        <v>83</v>
      </c>
      <c r="F294" s="215">
        <v>18.7</v>
      </c>
      <c r="G294" s="215">
        <v>18.7</v>
      </c>
      <c r="H294" s="62">
        <f t="shared" si="22"/>
        <v>100</v>
      </c>
    </row>
    <row r="295" spans="1:8" ht="38.25">
      <c r="A295" s="50"/>
      <c r="B295" s="50"/>
      <c r="C295" s="65" t="s">
        <v>249</v>
      </c>
      <c r="D295" s="50"/>
      <c r="E295" s="68" t="s">
        <v>250</v>
      </c>
      <c r="F295" s="215">
        <f>F296</f>
        <v>137</v>
      </c>
      <c r="G295" s="215">
        <f>G296</f>
        <v>59.9</v>
      </c>
      <c r="H295" s="62">
        <f t="shared" si="22"/>
        <v>43.722627737226276</v>
      </c>
    </row>
    <row r="296" spans="1:8" ht="51">
      <c r="A296" s="50"/>
      <c r="B296" s="50"/>
      <c r="C296" s="65" t="s">
        <v>251</v>
      </c>
      <c r="D296" s="65"/>
      <c r="E296" s="66" t="s">
        <v>252</v>
      </c>
      <c r="F296" s="215">
        <f>F297</f>
        <v>137</v>
      </c>
      <c r="G296" s="215">
        <f>G297</f>
        <v>59.9</v>
      </c>
      <c r="H296" s="62">
        <f t="shared" si="22"/>
        <v>43.722627737226276</v>
      </c>
    </row>
    <row r="297" spans="1:8" ht="51">
      <c r="A297" s="50"/>
      <c r="B297" s="50"/>
      <c r="C297" s="65" t="s">
        <v>316</v>
      </c>
      <c r="D297" s="50"/>
      <c r="E297" s="68" t="s">
        <v>660</v>
      </c>
      <c r="F297" s="215">
        <f>F298+F299</f>
        <v>137</v>
      </c>
      <c r="G297" s="215">
        <f>G298+G299</f>
        <v>59.9</v>
      </c>
      <c r="H297" s="62">
        <f t="shared" si="22"/>
        <v>43.722627737226276</v>
      </c>
    </row>
    <row r="298" spans="1:8" ht="24.75" customHeight="1">
      <c r="A298" s="50"/>
      <c r="B298" s="50"/>
      <c r="C298" s="65"/>
      <c r="D298" s="69" t="s">
        <v>7</v>
      </c>
      <c r="E298" s="66" t="s">
        <v>549</v>
      </c>
      <c r="F298" s="215">
        <v>35</v>
      </c>
      <c r="G298" s="215">
        <v>32.9</v>
      </c>
      <c r="H298" s="62">
        <f t="shared" si="22"/>
        <v>94</v>
      </c>
    </row>
    <row r="299" spans="1:8" ht="25.5">
      <c r="A299" s="50"/>
      <c r="B299" s="50"/>
      <c r="C299" s="65"/>
      <c r="D299" s="69" t="s">
        <v>14</v>
      </c>
      <c r="E299" s="73" t="s">
        <v>15</v>
      </c>
      <c r="F299" s="215">
        <v>102</v>
      </c>
      <c r="G299" s="215">
        <v>27</v>
      </c>
      <c r="H299" s="62">
        <f t="shared" si="22"/>
        <v>26.47058823529412</v>
      </c>
    </row>
    <row r="300" spans="1:8" ht="25.5">
      <c r="A300" s="50"/>
      <c r="B300" s="50"/>
      <c r="C300" s="65" t="s">
        <v>309</v>
      </c>
      <c r="D300" s="65"/>
      <c r="E300" s="68" t="s">
        <v>310</v>
      </c>
      <c r="F300" s="215">
        <f aca="true" t="shared" si="25" ref="F300:G302">F301</f>
        <v>68.4</v>
      </c>
      <c r="G300" s="215">
        <f t="shared" si="25"/>
        <v>68.3</v>
      </c>
      <c r="H300" s="62">
        <v>0</v>
      </c>
    </row>
    <row r="301" spans="1:8" ht="53.25" customHeight="1">
      <c r="A301" s="50"/>
      <c r="B301" s="50"/>
      <c r="C301" s="65" t="s">
        <v>311</v>
      </c>
      <c r="D301" s="50"/>
      <c r="E301" s="68" t="s">
        <v>312</v>
      </c>
      <c r="F301" s="215">
        <f t="shared" si="25"/>
        <v>68.4</v>
      </c>
      <c r="G301" s="215">
        <f t="shared" si="25"/>
        <v>68.3</v>
      </c>
      <c r="H301" s="62">
        <f aca="true" t="shared" si="26" ref="H301:H341">G301/F301*100</f>
        <v>99.85380116959062</v>
      </c>
    </row>
    <row r="302" spans="1:8" ht="25.5">
      <c r="A302" s="50"/>
      <c r="B302" s="50"/>
      <c r="C302" s="65" t="s">
        <v>659</v>
      </c>
      <c r="D302" s="50"/>
      <c r="E302" s="88" t="s">
        <v>315</v>
      </c>
      <c r="F302" s="215">
        <f t="shared" si="25"/>
        <v>68.4</v>
      </c>
      <c r="G302" s="215">
        <f t="shared" si="25"/>
        <v>68.3</v>
      </c>
      <c r="H302" s="62">
        <f t="shared" si="26"/>
        <v>99.85380116959062</v>
      </c>
    </row>
    <row r="303" spans="1:8" ht="78" customHeight="1">
      <c r="A303" s="50"/>
      <c r="B303" s="50"/>
      <c r="C303" s="65"/>
      <c r="D303" s="76" t="s">
        <v>4</v>
      </c>
      <c r="E303" s="66" t="s">
        <v>114</v>
      </c>
      <c r="F303" s="215">
        <v>68.4</v>
      </c>
      <c r="G303" s="215">
        <v>68.3</v>
      </c>
      <c r="H303" s="62">
        <f t="shared" si="26"/>
        <v>99.85380116959062</v>
      </c>
    </row>
    <row r="304" spans="1:8" ht="26.25" customHeight="1">
      <c r="A304" s="50"/>
      <c r="B304" s="50"/>
      <c r="C304" s="65" t="s">
        <v>317</v>
      </c>
      <c r="D304" s="65"/>
      <c r="E304" s="66" t="s">
        <v>284</v>
      </c>
      <c r="F304" s="215">
        <f>F305</f>
        <v>7580.1</v>
      </c>
      <c r="G304" s="215">
        <f>G305</f>
        <v>5221.900000000001</v>
      </c>
      <c r="H304" s="62">
        <f t="shared" si="26"/>
        <v>68.88959248558727</v>
      </c>
    </row>
    <row r="305" spans="1:8" ht="51">
      <c r="A305" s="50"/>
      <c r="B305" s="50"/>
      <c r="C305" s="65" t="s">
        <v>318</v>
      </c>
      <c r="D305" s="50"/>
      <c r="E305" s="68" t="s">
        <v>661</v>
      </c>
      <c r="F305" s="215">
        <f>F306+F311</f>
        <v>7580.1</v>
      </c>
      <c r="G305" s="215">
        <f>G306+G311</f>
        <v>5221.900000000001</v>
      </c>
      <c r="H305" s="62">
        <f t="shared" si="26"/>
        <v>68.88959248558727</v>
      </c>
    </row>
    <row r="306" spans="1:8" ht="25.5" customHeight="1">
      <c r="A306" s="50"/>
      <c r="B306" s="50"/>
      <c r="C306" s="65" t="s">
        <v>319</v>
      </c>
      <c r="D306" s="65"/>
      <c r="E306" s="66" t="s">
        <v>174</v>
      </c>
      <c r="F306" s="215">
        <f>F307+F308+F309+F310</f>
        <v>2830.2000000000003</v>
      </c>
      <c r="G306" s="215">
        <f>G307+G308+G309+G310</f>
        <v>2509.8</v>
      </c>
      <c r="H306" s="62">
        <f t="shared" si="26"/>
        <v>88.67924528301887</v>
      </c>
    </row>
    <row r="307" spans="1:8" ht="66.75" customHeight="1">
      <c r="A307" s="50"/>
      <c r="B307" s="50"/>
      <c r="C307" s="65"/>
      <c r="D307" s="65" t="s">
        <v>4</v>
      </c>
      <c r="E307" s="66" t="s">
        <v>114</v>
      </c>
      <c r="F307" s="215">
        <v>2574.5</v>
      </c>
      <c r="G307" s="215">
        <v>2495.3</v>
      </c>
      <c r="H307" s="62">
        <f t="shared" si="26"/>
        <v>96.9236744999029</v>
      </c>
    </row>
    <row r="308" spans="1:8" ht="39.75" customHeight="1">
      <c r="A308" s="50"/>
      <c r="B308" s="50"/>
      <c r="C308" s="65"/>
      <c r="D308" s="69" t="s">
        <v>7</v>
      </c>
      <c r="E308" s="66" t="s">
        <v>549</v>
      </c>
      <c r="F308" s="215">
        <v>86.4</v>
      </c>
      <c r="G308" s="215">
        <v>13.7</v>
      </c>
      <c r="H308" s="62">
        <f t="shared" si="26"/>
        <v>15.85648148148148</v>
      </c>
    </row>
    <row r="309" spans="1:8" ht="27" customHeight="1">
      <c r="A309" s="50"/>
      <c r="B309" s="50"/>
      <c r="C309" s="65"/>
      <c r="D309" s="69" t="s">
        <v>14</v>
      </c>
      <c r="E309" s="73" t="s">
        <v>15</v>
      </c>
      <c r="F309" s="215">
        <v>168.4</v>
      </c>
      <c r="G309" s="218">
        <v>0</v>
      </c>
      <c r="H309" s="62">
        <f t="shared" si="26"/>
        <v>0</v>
      </c>
    </row>
    <row r="310" spans="1:8" ht="15">
      <c r="A310" s="50"/>
      <c r="B310" s="50"/>
      <c r="C310" s="50"/>
      <c r="D310" s="65" t="s">
        <v>8</v>
      </c>
      <c r="E310" s="66" t="s">
        <v>9</v>
      </c>
      <c r="F310" s="215">
        <v>0.9</v>
      </c>
      <c r="G310" s="215">
        <v>0.8</v>
      </c>
      <c r="H310" s="62">
        <f t="shared" si="26"/>
        <v>88.8888888888889</v>
      </c>
    </row>
    <row r="311" spans="1:8" ht="51">
      <c r="A311" s="50"/>
      <c r="B311" s="50"/>
      <c r="C311" s="65" t="s">
        <v>320</v>
      </c>
      <c r="D311" s="65"/>
      <c r="E311" s="66" t="s">
        <v>201</v>
      </c>
      <c r="F311" s="215">
        <f>F312+F313+F314+F315+F316</f>
        <v>4749.9</v>
      </c>
      <c r="G311" s="215">
        <f>G312+G313+G314+G315+G316</f>
        <v>2712.1000000000004</v>
      </c>
      <c r="H311" s="62">
        <f t="shared" si="26"/>
        <v>57.09804416935095</v>
      </c>
    </row>
    <row r="312" spans="1:8" ht="78.75" customHeight="1">
      <c r="A312" s="50"/>
      <c r="B312" s="50"/>
      <c r="C312" s="65"/>
      <c r="D312" s="65" t="s">
        <v>4</v>
      </c>
      <c r="E312" s="66" t="s">
        <v>114</v>
      </c>
      <c r="F312" s="215">
        <v>1979.1</v>
      </c>
      <c r="G312" s="215">
        <v>1385.4</v>
      </c>
      <c r="H312" s="62">
        <f t="shared" si="26"/>
        <v>70.00151584053359</v>
      </c>
    </row>
    <row r="313" spans="1:8" ht="39.75" customHeight="1">
      <c r="A313" s="50"/>
      <c r="B313" s="50"/>
      <c r="C313" s="50"/>
      <c r="D313" s="69" t="s">
        <v>7</v>
      </c>
      <c r="E313" s="66" t="s">
        <v>549</v>
      </c>
      <c r="F313" s="215">
        <v>250.6</v>
      </c>
      <c r="G313" s="215">
        <v>193.9</v>
      </c>
      <c r="H313" s="62">
        <f t="shared" si="26"/>
        <v>77.37430167597765</v>
      </c>
    </row>
    <row r="314" spans="1:8" ht="25.5">
      <c r="A314" s="50"/>
      <c r="B314" s="50"/>
      <c r="C314" s="50"/>
      <c r="D314" s="69" t="s">
        <v>14</v>
      </c>
      <c r="E314" s="73" t="s">
        <v>15</v>
      </c>
      <c r="F314" s="215">
        <v>173.5</v>
      </c>
      <c r="G314" s="215">
        <v>0</v>
      </c>
      <c r="H314" s="62">
        <f t="shared" si="26"/>
        <v>0</v>
      </c>
    </row>
    <row r="315" spans="1:8" ht="27.75" customHeight="1">
      <c r="A315" s="50"/>
      <c r="B315" s="50"/>
      <c r="C315" s="50"/>
      <c r="D315" s="69" t="s">
        <v>35</v>
      </c>
      <c r="E315" s="73" t="s">
        <v>36</v>
      </c>
      <c r="F315" s="215">
        <v>2345.7</v>
      </c>
      <c r="G315" s="215">
        <v>1132.3</v>
      </c>
      <c r="H315" s="62">
        <f t="shared" si="26"/>
        <v>48.271304940955794</v>
      </c>
    </row>
    <row r="316" spans="1:8" ht="16.5" customHeight="1">
      <c r="A316" s="50"/>
      <c r="B316" s="50"/>
      <c r="C316" s="50"/>
      <c r="D316" s="76" t="s">
        <v>8</v>
      </c>
      <c r="E316" s="73" t="s">
        <v>9</v>
      </c>
      <c r="F316" s="215">
        <v>1</v>
      </c>
      <c r="G316" s="215">
        <v>0.5</v>
      </c>
      <c r="H316" s="62">
        <f t="shared" si="26"/>
        <v>50</v>
      </c>
    </row>
    <row r="317" spans="1:8" ht="51">
      <c r="A317" s="50"/>
      <c r="B317" s="50"/>
      <c r="C317" s="65" t="s">
        <v>202</v>
      </c>
      <c r="D317" s="49"/>
      <c r="E317" s="68" t="s">
        <v>543</v>
      </c>
      <c r="F317" s="215">
        <f>F318</f>
        <v>89.6</v>
      </c>
      <c r="G317" s="215">
        <f>G318</f>
        <v>35.2</v>
      </c>
      <c r="H317" s="62">
        <f t="shared" si="26"/>
        <v>39.28571428571429</v>
      </c>
    </row>
    <row r="318" spans="1:8" ht="28.5" customHeight="1">
      <c r="A318" s="50"/>
      <c r="B318" s="50"/>
      <c r="C318" s="65" t="s">
        <v>210</v>
      </c>
      <c r="D318" s="65"/>
      <c r="E318" s="66" t="s">
        <v>544</v>
      </c>
      <c r="F318" s="215">
        <f>F319+F326</f>
        <v>89.6</v>
      </c>
      <c r="G318" s="215">
        <f>G319+G326</f>
        <v>35.2</v>
      </c>
      <c r="H318" s="62">
        <f t="shared" si="26"/>
        <v>39.28571428571429</v>
      </c>
    </row>
    <row r="319" spans="1:8" ht="38.25">
      <c r="A319" s="50"/>
      <c r="B319" s="50"/>
      <c r="C319" s="65" t="s">
        <v>545</v>
      </c>
      <c r="D319" s="69"/>
      <c r="E319" s="73" t="s">
        <v>546</v>
      </c>
      <c r="F319" s="215">
        <f>+F320+F322+F324</f>
        <v>35.6</v>
      </c>
      <c r="G319" s="215">
        <f>+G320+G322+G324</f>
        <v>0.5</v>
      </c>
      <c r="H319" s="62">
        <f t="shared" si="26"/>
        <v>1.4044943820224718</v>
      </c>
    </row>
    <row r="320" spans="1:8" ht="38.25" customHeight="1">
      <c r="A320" s="50"/>
      <c r="B320" s="50"/>
      <c r="C320" s="65" t="s">
        <v>547</v>
      </c>
      <c r="D320" s="65"/>
      <c r="E320" s="66" t="s">
        <v>548</v>
      </c>
      <c r="F320" s="215">
        <f>F321</f>
        <v>2.6</v>
      </c>
      <c r="G320" s="215">
        <f>G321</f>
        <v>0</v>
      </c>
      <c r="H320" s="62">
        <f t="shared" si="26"/>
        <v>0</v>
      </c>
    </row>
    <row r="321" spans="1:8" ht="40.5" customHeight="1">
      <c r="A321" s="50"/>
      <c r="B321" s="50"/>
      <c r="C321" s="65"/>
      <c r="D321" s="69" t="s">
        <v>7</v>
      </c>
      <c r="E321" s="66" t="s">
        <v>549</v>
      </c>
      <c r="F321" s="215">
        <v>2.6</v>
      </c>
      <c r="G321" s="215">
        <v>0</v>
      </c>
      <c r="H321" s="62">
        <f t="shared" si="26"/>
        <v>0</v>
      </c>
    </row>
    <row r="322" spans="1:8" ht="24.75" customHeight="1">
      <c r="A322" s="50"/>
      <c r="B322" s="50"/>
      <c r="C322" s="65" t="s">
        <v>550</v>
      </c>
      <c r="D322" s="65"/>
      <c r="E322" s="66" t="s">
        <v>551</v>
      </c>
      <c r="F322" s="215">
        <f>F323</f>
        <v>25</v>
      </c>
      <c r="G322" s="215">
        <f>G323</f>
        <v>0</v>
      </c>
      <c r="H322" s="62">
        <f t="shared" si="26"/>
        <v>0</v>
      </c>
    </row>
    <row r="323" spans="1:8" ht="38.25" customHeight="1">
      <c r="A323" s="50"/>
      <c r="B323" s="50"/>
      <c r="C323" s="65"/>
      <c r="D323" s="69" t="s">
        <v>7</v>
      </c>
      <c r="E323" s="66" t="s">
        <v>549</v>
      </c>
      <c r="F323" s="215">
        <v>25</v>
      </c>
      <c r="G323" s="215">
        <v>0</v>
      </c>
      <c r="H323" s="62">
        <f t="shared" si="26"/>
        <v>0</v>
      </c>
    </row>
    <row r="324" spans="1:8" ht="38.25">
      <c r="A324" s="50"/>
      <c r="B324" s="50"/>
      <c r="C324" s="65" t="s">
        <v>552</v>
      </c>
      <c r="D324" s="65"/>
      <c r="E324" s="66" t="s">
        <v>553</v>
      </c>
      <c r="F324" s="215">
        <f>F325</f>
        <v>8</v>
      </c>
      <c r="G324" s="215">
        <f>G325</f>
        <v>0.5</v>
      </c>
      <c r="H324" s="62">
        <f t="shared" si="26"/>
        <v>6.25</v>
      </c>
    </row>
    <row r="325" spans="1:8" ht="39" customHeight="1">
      <c r="A325" s="50"/>
      <c r="B325" s="50"/>
      <c r="C325" s="65"/>
      <c r="D325" s="69" t="s">
        <v>7</v>
      </c>
      <c r="E325" s="66" t="s">
        <v>549</v>
      </c>
      <c r="F325" s="215">
        <v>8</v>
      </c>
      <c r="G325" s="215">
        <v>0.5</v>
      </c>
      <c r="H325" s="62">
        <f t="shared" si="26"/>
        <v>6.25</v>
      </c>
    </row>
    <row r="326" spans="1:8" ht="39.75" customHeight="1">
      <c r="A326" s="50"/>
      <c r="B326" s="50"/>
      <c r="C326" s="65" t="s">
        <v>554</v>
      </c>
      <c r="D326" s="65"/>
      <c r="E326" s="66" t="s">
        <v>555</v>
      </c>
      <c r="F326" s="215">
        <f>F327</f>
        <v>54</v>
      </c>
      <c r="G326" s="215">
        <f>G327</f>
        <v>34.7</v>
      </c>
      <c r="H326" s="62">
        <f t="shared" si="26"/>
        <v>64.25925925925927</v>
      </c>
    </row>
    <row r="327" spans="1:8" ht="27" customHeight="1">
      <c r="A327" s="50"/>
      <c r="B327" s="50"/>
      <c r="C327" s="65" t="s">
        <v>556</v>
      </c>
      <c r="D327" s="65"/>
      <c r="E327" s="66" t="s">
        <v>557</v>
      </c>
      <c r="F327" s="215">
        <f>F328</f>
        <v>54</v>
      </c>
      <c r="G327" s="215">
        <f>G328</f>
        <v>34.7</v>
      </c>
      <c r="H327" s="62">
        <f t="shared" si="26"/>
        <v>64.25925925925927</v>
      </c>
    </row>
    <row r="328" spans="1:8" ht="39.75" customHeight="1">
      <c r="A328" s="50"/>
      <c r="B328" s="50"/>
      <c r="C328" s="65"/>
      <c r="D328" s="69" t="s">
        <v>7</v>
      </c>
      <c r="E328" s="66" t="s">
        <v>549</v>
      </c>
      <c r="F328" s="215">
        <v>54</v>
      </c>
      <c r="G328" s="218">
        <v>34.7</v>
      </c>
      <c r="H328" s="62">
        <f t="shared" si="26"/>
        <v>64.25925925925927</v>
      </c>
    </row>
    <row r="329" spans="1:8" ht="15">
      <c r="A329" s="50"/>
      <c r="B329" s="76" t="s">
        <v>57</v>
      </c>
      <c r="C329" s="50"/>
      <c r="D329" s="65"/>
      <c r="E329" s="72" t="s">
        <v>73</v>
      </c>
      <c r="F329" s="215">
        <f>F330+F342</f>
        <v>6730.5</v>
      </c>
      <c r="G329" s="215">
        <f>G330+G342</f>
        <v>5186.400000000001</v>
      </c>
      <c r="H329" s="62">
        <f t="shared" si="26"/>
        <v>77.05816804100736</v>
      </c>
    </row>
    <row r="330" spans="1:8" ht="15" customHeight="1">
      <c r="A330" s="50"/>
      <c r="B330" s="76">
        <v>1003</v>
      </c>
      <c r="C330" s="50"/>
      <c r="D330" s="65"/>
      <c r="E330" s="66" t="s">
        <v>61</v>
      </c>
      <c r="F330" s="215">
        <f>F331</f>
        <v>5408</v>
      </c>
      <c r="G330" s="215">
        <f>G331</f>
        <v>4297.8</v>
      </c>
      <c r="H330" s="62">
        <f t="shared" si="26"/>
        <v>79.47115384615385</v>
      </c>
    </row>
    <row r="331" spans="1:8" ht="42" customHeight="1">
      <c r="A331" s="50"/>
      <c r="B331" s="50"/>
      <c r="C331" s="65" t="s">
        <v>237</v>
      </c>
      <c r="D331" s="49"/>
      <c r="E331" s="68" t="s">
        <v>82</v>
      </c>
      <c r="F331" s="215">
        <f>F332+F337</f>
        <v>5408</v>
      </c>
      <c r="G331" s="215">
        <f>G332+G337</f>
        <v>4297.8</v>
      </c>
      <c r="H331" s="62">
        <f t="shared" si="26"/>
        <v>79.47115384615385</v>
      </c>
    </row>
    <row r="332" spans="1:8" ht="39" customHeight="1">
      <c r="A332" s="50"/>
      <c r="B332" s="50"/>
      <c r="C332" s="65" t="s">
        <v>244</v>
      </c>
      <c r="D332" s="65"/>
      <c r="E332" s="66" t="s">
        <v>245</v>
      </c>
      <c r="F332" s="215">
        <f>F333</f>
        <v>3175.3</v>
      </c>
      <c r="G332" s="215">
        <f>G333</f>
        <v>2292.5</v>
      </c>
      <c r="H332" s="62">
        <f t="shared" si="26"/>
        <v>72.19790256038799</v>
      </c>
    </row>
    <row r="333" spans="1:8" ht="27" customHeight="1">
      <c r="A333" s="50"/>
      <c r="B333" s="50"/>
      <c r="C333" s="65" t="s">
        <v>306</v>
      </c>
      <c r="D333" s="65"/>
      <c r="E333" s="66" t="s">
        <v>303</v>
      </c>
      <c r="F333" s="215">
        <f>F334</f>
        <v>3175.3</v>
      </c>
      <c r="G333" s="215">
        <f>G334</f>
        <v>2292.5</v>
      </c>
      <c r="H333" s="62">
        <f t="shared" si="26"/>
        <v>72.19790256038799</v>
      </c>
    </row>
    <row r="334" spans="1:8" ht="38.25">
      <c r="A334" s="50"/>
      <c r="B334" s="50"/>
      <c r="C334" s="65" t="s">
        <v>652</v>
      </c>
      <c r="D334" s="65"/>
      <c r="E334" s="68" t="s">
        <v>649</v>
      </c>
      <c r="F334" s="215">
        <f>F335+F336</f>
        <v>3175.3</v>
      </c>
      <c r="G334" s="215">
        <f>G335+G336</f>
        <v>2292.5</v>
      </c>
      <c r="H334" s="62">
        <f t="shared" si="26"/>
        <v>72.19790256038799</v>
      </c>
    </row>
    <row r="335" spans="1:8" ht="25.5">
      <c r="A335" s="50"/>
      <c r="B335" s="50"/>
      <c r="C335" s="65"/>
      <c r="D335" s="69" t="s">
        <v>14</v>
      </c>
      <c r="E335" s="73" t="s">
        <v>15</v>
      </c>
      <c r="F335" s="215">
        <v>896.7</v>
      </c>
      <c r="G335" s="215">
        <v>893.7</v>
      </c>
      <c r="H335" s="62">
        <f t="shared" si="26"/>
        <v>99.66543994647039</v>
      </c>
    </row>
    <row r="336" spans="1:8" ht="38.25">
      <c r="A336" s="50"/>
      <c r="B336" s="50"/>
      <c r="C336" s="65"/>
      <c r="D336" s="65" t="s">
        <v>35</v>
      </c>
      <c r="E336" s="66" t="s">
        <v>83</v>
      </c>
      <c r="F336" s="215">
        <v>2278.6</v>
      </c>
      <c r="G336" s="215">
        <v>1398.8</v>
      </c>
      <c r="H336" s="62">
        <f t="shared" si="26"/>
        <v>61.38857193013254</v>
      </c>
    </row>
    <row r="337" spans="1:8" ht="27.75" customHeight="1">
      <c r="A337" s="50"/>
      <c r="B337" s="50"/>
      <c r="C337" s="65" t="s">
        <v>317</v>
      </c>
      <c r="D337" s="65"/>
      <c r="E337" s="66" t="s">
        <v>284</v>
      </c>
      <c r="F337" s="215">
        <f>F338</f>
        <v>2232.7</v>
      </c>
      <c r="G337" s="215">
        <f>G338</f>
        <v>2005.3000000000002</v>
      </c>
      <c r="H337" s="62">
        <f t="shared" si="26"/>
        <v>89.81502217046626</v>
      </c>
    </row>
    <row r="338" spans="1:8" ht="40.5" customHeight="1">
      <c r="A338" s="50"/>
      <c r="B338" s="50"/>
      <c r="C338" s="74" t="s">
        <v>321</v>
      </c>
      <c r="D338" s="65"/>
      <c r="E338" s="66" t="s">
        <v>322</v>
      </c>
      <c r="F338" s="215">
        <f>+F339</f>
        <v>2232.7</v>
      </c>
      <c r="G338" s="215">
        <f>+G339</f>
        <v>2005.3000000000002</v>
      </c>
      <c r="H338" s="62">
        <f t="shared" si="26"/>
        <v>89.81502217046626</v>
      </c>
    </row>
    <row r="339" spans="1:8" ht="117" customHeight="1">
      <c r="A339" s="50"/>
      <c r="B339" s="76"/>
      <c r="C339" s="74" t="s">
        <v>662</v>
      </c>
      <c r="D339" s="65"/>
      <c r="E339" s="66" t="s">
        <v>663</v>
      </c>
      <c r="F339" s="215">
        <f>F340+F341</f>
        <v>2232.7</v>
      </c>
      <c r="G339" s="215">
        <f>G340+G341</f>
        <v>2005.3000000000002</v>
      </c>
      <c r="H339" s="62">
        <f t="shared" si="26"/>
        <v>89.81502217046626</v>
      </c>
    </row>
    <row r="340" spans="1:8" ht="25.5">
      <c r="A340" s="50"/>
      <c r="B340" s="76"/>
      <c r="C340" s="89"/>
      <c r="D340" s="69" t="s">
        <v>14</v>
      </c>
      <c r="E340" s="73" t="s">
        <v>15</v>
      </c>
      <c r="F340" s="215">
        <v>794.3</v>
      </c>
      <c r="G340" s="215">
        <v>572.4</v>
      </c>
      <c r="H340" s="62">
        <f t="shared" si="26"/>
        <v>72.06345209618532</v>
      </c>
    </row>
    <row r="341" spans="1:8" ht="38.25">
      <c r="A341" s="50"/>
      <c r="B341" s="76"/>
      <c r="C341" s="89"/>
      <c r="D341" s="69" t="s">
        <v>35</v>
      </c>
      <c r="E341" s="73" t="s">
        <v>36</v>
      </c>
      <c r="F341" s="215">
        <f>1064.3+374.1</f>
        <v>1438.4</v>
      </c>
      <c r="G341" s="220">
        <v>1432.9</v>
      </c>
      <c r="H341" s="62">
        <f t="shared" si="26"/>
        <v>99.61763070077865</v>
      </c>
    </row>
    <row r="342" spans="1:8" ht="15">
      <c r="A342" s="50"/>
      <c r="B342" s="76" t="s">
        <v>62</v>
      </c>
      <c r="C342" s="65"/>
      <c r="D342" s="65"/>
      <c r="E342" s="73" t="s">
        <v>89</v>
      </c>
      <c r="F342" s="215">
        <f aca="true" t="shared" si="27" ref="F342:G346">F343</f>
        <v>1322.5</v>
      </c>
      <c r="G342" s="215">
        <f t="shared" si="27"/>
        <v>888.6</v>
      </c>
      <c r="H342" s="62">
        <f aca="true" t="shared" si="28" ref="H342:H411">G342/F342*100</f>
        <v>67.19092627599244</v>
      </c>
    </row>
    <row r="343" spans="1:8" ht="39" customHeight="1">
      <c r="A343" s="50"/>
      <c r="B343" s="50"/>
      <c r="C343" s="65" t="s">
        <v>237</v>
      </c>
      <c r="D343" s="49"/>
      <c r="E343" s="68" t="s">
        <v>82</v>
      </c>
      <c r="F343" s="215">
        <f t="shared" si="27"/>
        <v>1322.5</v>
      </c>
      <c r="G343" s="215">
        <f t="shared" si="27"/>
        <v>888.6</v>
      </c>
      <c r="H343" s="62">
        <f t="shared" si="28"/>
        <v>67.19092627599244</v>
      </c>
    </row>
    <row r="344" spans="1:8" ht="27" customHeight="1">
      <c r="A344" s="50"/>
      <c r="B344" s="50"/>
      <c r="C344" s="65" t="s">
        <v>238</v>
      </c>
      <c r="D344" s="49"/>
      <c r="E344" s="68" t="s">
        <v>239</v>
      </c>
      <c r="F344" s="215">
        <f t="shared" si="27"/>
        <v>1322.5</v>
      </c>
      <c r="G344" s="215">
        <f t="shared" si="27"/>
        <v>888.6</v>
      </c>
      <c r="H344" s="62">
        <f t="shared" si="28"/>
        <v>67.19092627599244</v>
      </c>
    </row>
    <row r="345" spans="1:8" ht="29.25" customHeight="1">
      <c r="A345" s="50"/>
      <c r="B345" s="50"/>
      <c r="C345" s="65" t="s">
        <v>302</v>
      </c>
      <c r="D345" s="50"/>
      <c r="E345" s="68" t="s">
        <v>303</v>
      </c>
      <c r="F345" s="215">
        <f t="shared" si="27"/>
        <v>1322.5</v>
      </c>
      <c r="G345" s="215">
        <f t="shared" si="27"/>
        <v>888.6</v>
      </c>
      <c r="H345" s="62">
        <f t="shared" si="28"/>
        <v>67.19092627599244</v>
      </c>
    </row>
    <row r="346" spans="1:8" ht="38.25">
      <c r="A346" s="50"/>
      <c r="B346" s="50"/>
      <c r="C346" s="65" t="s">
        <v>650</v>
      </c>
      <c r="D346" s="65"/>
      <c r="E346" s="68" t="s">
        <v>649</v>
      </c>
      <c r="F346" s="215">
        <f t="shared" si="27"/>
        <v>1322.5</v>
      </c>
      <c r="G346" s="215">
        <f t="shared" si="27"/>
        <v>888.6</v>
      </c>
      <c r="H346" s="62">
        <f t="shared" si="28"/>
        <v>67.19092627599244</v>
      </c>
    </row>
    <row r="347" spans="1:8" ht="25.5">
      <c r="A347" s="50"/>
      <c r="B347" s="50"/>
      <c r="C347" s="65"/>
      <c r="D347" s="69" t="s">
        <v>14</v>
      </c>
      <c r="E347" s="73" t="s">
        <v>15</v>
      </c>
      <c r="F347" s="215">
        <v>1322.5</v>
      </c>
      <c r="G347" s="215">
        <v>888.6</v>
      </c>
      <c r="H347" s="62">
        <f t="shared" si="28"/>
        <v>67.19092627599244</v>
      </c>
    </row>
    <row r="348" spans="1:8" ht="25.5">
      <c r="A348" s="63">
        <v>631</v>
      </c>
      <c r="B348" s="50"/>
      <c r="C348" s="50"/>
      <c r="D348" s="50"/>
      <c r="E348" s="64" t="s">
        <v>732</v>
      </c>
      <c r="F348" s="216">
        <f>F349+F360+F375+F394+F406</f>
        <v>13152.299999999997</v>
      </c>
      <c r="G348" s="216">
        <f>G349+G360+G375+G394+G406</f>
        <v>10856.1</v>
      </c>
      <c r="H348" s="56">
        <f t="shared" si="28"/>
        <v>82.54145662735797</v>
      </c>
    </row>
    <row r="349" spans="1:8" ht="41.25" customHeight="1">
      <c r="A349" s="50"/>
      <c r="B349" s="65" t="s">
        <v>26</v>
      </c>
      <c r="C349" s="50"/>
      <c r="D349" s="65"/>
      <c r="E349" s="67" t="s">
        <v>71</v>
      </c>
      <c r="F349" s="215">
        <f>+F350</f>
        <v>96.5</v>
      </c>
      <c r="G349" s="215">
        <f>+G350</f>
        <v>0</v>
      </c>
      <c r="H349" s="62">
        <f t="shared" si="28"/>
        <v>0</v>
      </c>
    </row>
    <row r="350" spans="1:8" ht="38.25">
      <c r="A350" s="50"/>
      <c r="B350" s="65" t="s">
        <v>362</v>
      </c>
      <c r="C350" s="50"/>
      <c r="D350" s="65"/>
      <c r="E350" s="67" t="s">
        <v>365</v>
      </c>
      <c r="F350" s="215">
        <f>F351</f>
        <v>96.5</v>
      </c>
      <c r="G350" s="215">
        <f>G351</f>
        <v>0</v>
      </c>
      <c r="H350" s="62">
        <f t="shared" si="28"/>
        <v>0</v>
      </c>
    </row>
    <row r="351" spans="1:8" ht="49.5" customHeight="1">
      <c r="A351" s="50"/>
      <c r="B351" s="65"/>
      <c r="C351" s="65" t="s">
        <v>630</v>
      </c>
      <c r="D351" s="49"/>
      <c r="E351" s="68" t="s">
        <v>363</v>
      </c>
      <c r="F351" s="215">
        <f>F352+F356</f>
        <v>96.5</v>
      </c>
      <c r="G351" s="215">
        <f>G352+G356</f>
        <v>0</v>
      </c>
      <c r="H351" s="62">
        <f t="shared" si="28"/>
        <v>0</v>
      </c>
    </row>
    <row r="352" spans="1:8" ht="41.25" customHeight="1">
      <c r="A352" s="50"/>
      <c r="B352" s="65"/>
      <c r="C352" s="65" t="s">
        <v>631</v>
      </c>
      <c r="D352" s="50"/>
      <c r="E352" s="66" t="s">
        <v>632</v>
      </c>
      <c r="F352" s="215">
        <f aca="true" t="shared" si="29" ref="F352:G354">F353</f>
        <v>76.5</v>
      </c>
      <c r="G352" s="215">
        <f t="shared" si="29"/>
        <v>0</v>
      </c>
      <c r="H352" s="62">
        <f t="shared" si="28"/>
        <v>0</v>
      </c>
    </row>
    <row r="353" spans="1:8" ht="38.25">
      <c r="A353" s="50"/>
      <c r="B353" s="65"/>
      <c r="C353" s="65" t="s">
        <v>643</v>
      </c>
      <c r="D353" s="76"/>
      <c r="E353" s="73" t="s">
        <v>368</v>
      </c>
      <c r="F353" s="215">
        <f t="shared" si="29"/>
        <v>76.5</v>
      </c>
      <c r="G353" s="215">
        <f t="shared" si="29"/>
        <v>0</v>
      </c>
      <c r="H353" s="62">
        <f t="shared" si="28"/>
        <v>0</v>
      </c>
    </row>
    <row r="354" spans="1:8" ht="25.5">
      <c r="A354" s="50"/>
      <c r="B354" s="65"/>
      <c r="C354" s="65" t="s">
        <v>705</v>
      </c>
      <c r="D354" s="50"/>
      <c r="E354" s="80" t="s">
        <v>364</v>
      </c>
      <c r="F354" s="215">
        <f t="shared" si="29"/>
        <v>76.5</v>
      </c>
      <c r="G354" s="215">
        <f t="shared" si="29"/>
        <v>0</v>
      </c>
      <c r="H354" s="62">
        <f t="shared" si="28"/>
        <v>0</v>
      </c>
    </row>
    <row r="355" spans="1:8" ht="38.25">
      <c r="A355" s="50"/>
      <c r="B355" s="65"/>
      <c r="C355" s="65"/>
      <c r="D355" s="69" t="s">
        <v>35</v>
      </c>
      <c r="E355" s="73" t="s">
        <v>36</v>
      </c>
      <c r="F355" s="215">
        <v>76.5</v>
      </c>
      <c r="G355" s="215">
        <v>0</v>
      </c>
      <c r="H355" s="62">
        <f t="shared" si="28"/>
        <v>0</v>
      </c>
    </row>
    <row r="356" spans="1:8" ht="28.5" customHeight="1">
      <c r="A356" s="50"/>
      <c r="B356" s="50"/>
      <c r="C356" s="65" t="s">
        <v>571</v>
      </c>
      <c r="D356" s="50"/>
      <c r="E356" s="66" t="s">
        <v>572</v>
      </c>
      <c r="F356" s="215">
        <f aca="true" t="shared" si="30" ref="F356:G358">F357</f>
        <v>20</v>
      </c>
      <c r="G356" s="215">
        <f t="shared" si="30"/>
        <v>0</v>
      </c>
      <c r="H356" s="62">
        <f t="shared" si="28"/>
        <v>0</v>
      </c>
    </row>
    <row r="357" spans="1:8" ht="51">
      <c r="A357" s="50"/>
      <c r="B357" s="50"/>
      <c r="C357" s="65" t="s">
        <v>371</v>
      </c>
      <c r="D357" s="50"/>
      <c r="E357" s="73" t="s">
        <v>372</v>
      </c>
      <c r="F357" s="215">
        <f t="shared" si="30"/>
        <v>20</v>
      </c>
      <c r="G357" s="215">
        <f t="shared" si="30"/>
        <v>0</v>
      </c>
      <c r="H357" s="62">
        <f t="shared" si="28"/>
        <v>0</v>
      </c>
    </row>
    <row r="358" spans="1:8" ht="53.25" customHeight="1">
      <c r="A358" s="50"/>
      <c r="B358" s="50"/>
      <c r="C358" s="65" t="s">
        <v>573</v>
      </c>
      <c r="D358" s="76"/>
      <c r="E358" s="73" t="s">
        <v>574</v>
      </c>
      <c r="F358" s="215">
        <f t="shared" si="30"/>
        <v>20</v>
      </c>
      <c r="G358" s="215">
        <f t="shared" si="30"/>
        <v>0</v>
      </c>
      <c r="H358" s="62">
        <f t="shared" si="28"/>
        <v>0</v>
      </c>
    </row>
    <row r="359" spans="1:8" ht="42" customHeight="1">
      <c r="A359" s="50"/>
      <c r="B359" s="50"/>
      <c r="C359" s="65"/>
      <c r="D359" s="69" t="s">
        <v>35</v>
      </c>
      <c r="E359" s="73" t="s">
        <v>36</v>
      </c>
      <c r="F359" s="215">
        <v>20</v>
      </c>
      <c r="G359" s="215">
        <v>0</v>
      </c>
      <c r="H359" s="62">
        <f t="shared" si="28"/>
        <v>0</v>
      </c>
    </row>
    <row r="360" spans="1:8" ht="15">
      <c r="A360" s="50"/>
      <c r="B360" s="65" t="s">
        <v>44</v>
      </c>
      <c r="C360" s="65"/>
      <c r="D360" s="65"/>
      <c r="E360" s="66" t="s">
        <v>81</v>
      </c>
      <c r="F360" s="215">
        <f>F361+F367</f>
        <v>2986.3999999999996</v>
      </c>
      <c r="G360" s="215">
        <f>G361+G367</f>
        <v>2911.2999999999997</v>
      </c>
      <c r="H360" s="62">
        <f t="shared" si="28"/>
        <v>97.48526654165552</v>
      </c>
    </row>
    <row r="361" spans="1:8" ht="15">
      <c r="A361" s="50"/>
      <c r="B361" s="65" t="s">
        <v>657</v>
      </c>
      <c r="C361" s="65"/>
      <c r="D361" s="65"/>
      <c r="E361" s="66" t="s">
        <v>658</v>
      </c>
      <c r="F361" s="215">
        <f aca="true" t="shared" si="31" ref="F361:G365">F362</f>
        <v>2376.7</v>
      </c>
      <c r="G361" s="215">
        <f t="shared" si="31"/>
        <v>2376.7</v>
      </c>
      <c r="H361" s="62">
        <f t="shared" si="28"/>
        <v>100</v>
      </c>
    </row>
    <row r="362" spans="1:8" ht="39" customHeight="1">
      <c r="A362" s="50"/>
      <c r="B362" s="50"/>
      <c r="C362" s="65" t="s">
        <v>237</v>
      </c>
      <c r="D362" s="49"/>
      <c r="E362" s="68" t="s">
        <v>82</v>
      </c>
      <c r="F362" s="215">
        <f t="shared" si="31"/>
        <v>2376.7</v>
      </c>
      <c r="G362" s="215">
        <f t="shared" si="31"/>
        <v>2376.7</v>
      </c>
      <c r="H362" s="62">
        <f t="shared" si="28"/>
        <v>100</v>
      </c>
    </row>
    <row r="363" spans="1:8" ht="38.25">
      <c r="A363" s="50"/>
      <c r="B363" s="50"/>
      <c r="C363" s="65" t="s">
        <v>249</v>
      </c>
      <c r="D363" s="50"/>
      <c r="E363" s="68" t="s">
        <v>250</v>
      </c>
      <c r="F363" s="215">
        <f t="shared" si="31"/>
        <v>2376.7</v>
      </c>
      <c r="G363" s="215">
        <f t="shared" si="31"/>
        <v>2376.7</v>
      </c>
      <c r="H363" s="62">
        <f t="shared" si="28"/>
        <v>100</v>
      </c>
    </row>
    <row r="364" spans="1:8" ht="54" customHeight="1">
      <c r="A364" s="50"/>
      <c r="B364" s="50"/>
      <c r="C364" s="65" t="s">
        <v>251</v>
      </c>
      <c r="D364" s="65"/>
      <c r="E364" s="66" t="s">
        <v>252</v>
      </c>
      <c r="F364" s="215">
        <f t="shared" si="31"/>
        <v>2376.7</v>
      </c>
      <c r="G364" s="215">
        <f t="shared" si="31"/>
        <v>2376.7</v>
      </c>
      <c r="H364" s="62">
        <f t="shared" si="28"/>
        <v>100</v>
      </c>
    </row>
    <row r="365" spans="1:8" ht="54.75" customHeight="1">
      <c r="A365" s="50"/>
      <c r="B365" s="50"/>
      <c r="C365" s="65" t="s">
        <v>307</v>
      </c>
      <c r="D365" s="69"/>
      <c r="E365" s="73" t="s">
        <v>308</v>
      </c>
      <c r="F365" s="215">
        <f t="shared" si="31"/>
        <v>2376.7</v>
      </c>
      <c r="G365" s="215">
        <f t="shared" si="31"/>
        <v>2376.7</v>
      </c>
      <c r="H365" s="62">
        <f t="shared" si="28"/>
        <v>100</v>
      </c>
    </row>
    <row r="366" spans="1:8" ht="38.25">
      <c r="A366" s="50"/>
      <c r="B366" s="50"/>
      <c r="C366" s="50"/>
      <c r="D366" s="65" t="s">
        <v>35</v>
      </c>
      <c r="E366" s="66" t="s">
        <v>83</v>
      </c>
      <c r="F366" s="215">
        <v>2376.7</v>
      </c>
      <c r="G366" s="215">
        <v>2376.7</v>
      </c>
      <c r="H366" s="62">
        <f t="shared" si="28"/>
        <v>100</v>
      </c>
    </row>
    <row r="367" spans="1:8" ht="15">
      <c r="A367" s="50"/>
      <c r="B367" s="65" t="s">
        <v>49</v>
      </c>
      <c r="C367" s="65"/>
      <c r="D367" s="65"/>
      <c r="E367" s="80" t="s">
        <v>253</v>
      </c>
      <c r="F367" s="215">
        <f aca="true" t="shared" si="32" ref="F367:G369">F368</f>
        <v>609.7</v>
      </c>
      <c r="G367" s="215">
        <f t="shared" si="32"/>
        <v>534.6</v>
      </c>
      <c r="H367" s="62">
        <f t="shared" si="28"/>
        <v>87.68246678694439</v>
      </c>
    </row>
    <row r="368" spans="1:8" ht="51">
      <c r="A368" s="50"/>
      <c r="B368" s="65"/>
      <c r="C368" s="65" t="s">
        <v>254</v>
      </c>
      <c r="D368" s="69"/>
      <c r="E368" s="68" t="s">
        <v>84</v>
      </c>
      <c r="F368" s="215">
        <f t="shared" si="32"/>
        <v>609.7</v>
      </c>
      <c r="G368" s="215">
        <f t="shared" si="32"/>
        <v>534.6</v>
      </c>
      <c r="H368" s="62">
        <f t="shared" si="28"/>
        <v>87.68246678694439</v>
      </c>
    </row>
    <row r="369" spans="1:8" ht="29.25" customHeight="1">
      <c r="A369" s="50"/>
      <c r="B369" s="50"/>
      <c r="C369" s="65" t="s">
        <v>255</v>
      </c>
      <c r="D369" s="69"/>
      <c r="E369" s="73" t="s">
        <v>256</v>
      </c>
      <c r="F369" s="215">
        <f t="shared" si="32"/>
        <v>609.7</v>
      </c>
      <c r="G369" s="215">
        <f t="shared" si="32"/>
        <v>534.6</v>
      </c>
      <c r="H369" s="62">
        <f t="shared" si="28"/>
        <v>87.68246678694439</v>
      </c>
    </row>
    <row r="370" spans="1:8" ht="25.5">
      <c r="A370" s="50"/>
      <c r="B370" s="50"/>
      <c r="C370" s="65" t="s">
        <v>257</v>
      </c>
      <c r="D370" s="50"/>
      <c r="E370" s="66" t="s">
        <v>258</v>
      </c>
      <c r="F370" s="215">
        <f>F371+F373</f>
        <v>609.7</v>
      </c>
      <c r="G370" s="215">
        <f>G371+G373</f>
        <v>534.6</v>
      </c>
      <c r="H370" s="62">
        <f t="shared" si="28"/>
        <v>87.68246678694439</v>
      </c>
    </row>
    <row r="371" spans="1:8" ht="25.5" customHeight="1">
      <c r="A371" s="50"/>
      <c r="B371" s="50"/>
      <c r="C371" s="65" t="s">
        <v>259</v>
      </c>
      <c r="D371" s="50"/>
      <c r="E371" s="66" t="s">
        <v>260</v>
      </c>
      <c r="F371" s="215">
        <f>F372</f>
        <v>105.1</v>
      </c>
      <c r="G371" s="215">
        <f>G372</f>
        <v>30</v>
      </c>
      <c r="H371" s="62">
        <f t="shared" si="28"/>
        <v>28.5442435775452</v>
      </c>
    </row>
    <row r="372" spans="1:8" ht="37.5" customHeight="1">
      <c r="A372" s="50"/>
      <c r="B372" s="50"/>
      <c r="C372" s="65"/>
      <c r="D372" s="69" t="s">
        <v>35</v>
      </c>
      <c r="E372" s="73" t="s">
        <v>36</v>
      </c>
      <c r="F372" s="215">
        <v>105.1</v>
      </c>
      <c r="G372" s="215">
        <v>30</v>
      </c>
      <c r="H372" s="62">
        <f t="shared" si="28"/>
        <v>28.5442435775452</v>
      </c>
    </row>
    <row r="373" spans="1:8" ht="51">
      <c r="A373" s="50"/>
      <c r="B373" s="50"/>
      <c r="C373" s="65" t="s">
        <v>261</v>
      </c>
      <c r="D373" s="50"/>
      <c r="E373" s="66" t="s">
        <v>201</v>
      </c>
      <c r="F373" s="215">
        <f>F374</f>
        <v>504.6</v>
      </c>
      <c r="G373" s="215">
        <f>G374</f>
        <v>504.6</v>
      </c>
      <c r="H373" s="62">
        <f t="shared" si="28"/>
        <v>100</v>
      </c>
    </row>
    <row r="374" spans="1:8" ht="38.25">
      <c r="A374" s="50"/>
      <c r="B374" s="50"/>
      <c r="C374" s="65"/>
      <c r="D374" s="69" t="s">
        <v>35</v>
      </c>
      <c r="E374" s="73" t="s">
        <v>36</v>
      </c>
      <c r="F374" s="215">
        <v>504.6</v>
      </c>
      <c r="G374" s="215">
        <v>504.6</v>
      </c>
      <c r="H374" s="62">
        <f t="shared" si="28"/>
        <v>100</v>
      </c>
    </row>
    <row r="375" spans="1:8" ht="15">
      <c r="A375" s="50"/>
      <c r="B375" s="65" t="s">
        <v>52</v>
      </c>
      <c r="C375" s="50"/>
      <c r="D375" s="69"/>
      <c r="E375" s="73" t="s">
        <v>85</v>
      </c>
      <c r="F375" s="215">
        <f>F376+F388</f>
        <v>5968.7</v>
      </c>
      <c r="G375" s="215">
        <f>G376+G388</f>
        <v>5914.500000000001</v>
      </c>
      <c r="H375" s="62">
        <f t="shared" si="28"/>
        <v>99.09192956590213</v>
      </c>
    </row>
    <row r="376" spans="1:8" ht="14.25" customHeight="1">
      <c r="A376" s="50"/>
      <c r="B376" s="65" t="s">
        <v>53</v>
      </c>
      <c r="C376" s="50"/>
      <c r="D376" s="69"/>
      <c r="E376" s="73" t="s">
        <v>54</v>
      </c>
      <c r="F376" s="215">
        <f aca="true" t="shared" si="33" ref="F376:G378">F377</f>
        <v>5614.2</v>
      </c>
      <c r="G376" s="215">
        <f t="shared" si="33"/>
        <v>5560.000000000001</v>
      </c>
      <c r="H376" s="62">
        <f t="shared" si="28"/>
        <v>99.03459085889354</v>
      </c>
    </row>
    <row r="377" spans="1:8" ht="51">
      <c r="A377" s="50"/>
      <c r="B377" s="50"/>
      <c r="C377" s="65" t="s">
        <v>254</v>
      </c>
      <c r="D377" s="69"/>
      <c r="E377" s="68" t="s">
        <v>84</v>
      </c>
      <c r="F377" s="215">
        <f t="shared" si="33"/>
        <v>5614.2</v>
      </c>
      <c r="G377" s="215">
        <f t="shared" si="33"/>
        <v>5560.000000000001</v>
      </c>
      <c r="H377" s="62">
        <f t="shared" si="28"/>
        <v>99.03459085889354</v>
      </c>
    </row>
    <row r="378" spans="1:8" ht="29.25" customHeight="1">
      <c r="A378" s="50"/>
      <c r="B378" s="50"/>
      <c r="C378" s="65" t="s">
        <v>255</v>
      </c>
      <c r="D378" s="69"/>
      <c r="E378" s="73" t="s">
        <v>256</v>
      </c>
      <c r="F378" s="215">
        <f t="shared" si="33"/>
        <v>5614.2</v>
      </c>
      <c r="G378" s="215">
        <f t="shared" si="33"/>
        <v>5560.000000000001</v>
      </c>
      <c r="H378" s="62">
        <f t="shared" si="28"/>
        <v>99.03459085889354</v>
      </c>
    </row>
    <row r="379" spans="1:8" ht="29.25" customHeight="1">
      <c r="A379" s="50"/>
      <c r="B379" s="50"/>
      <c r="C379" s="65" t="s">
        <v>262</v>
      </c>
      <c r="D379" s="69"/>
      <c r="E379" s="73" t="s">
        <v>263</v>
      </c>
      <c r="F379" s="215">
        <f>F380+F382+F386</f>
        <v>5614.2</v>
      </c>
      <c r="G379" s="215">
        <f>G380+G382+G386</f>
        <v>5560.000000000001</v>
      </c>
      <c r="H379" s="62">
        <f t="shared" si="28"/>
        <v>99.03459085889354</v>
      </c>
    </row>
    <row r="380" spans="1:8" ht="38.25">
      <c r="A380" s="50"/>
      <c r="B380" s="50"/>
      <c r="C380" s="65" t="s">
        <v>264</v>
      </c>
      <c r="D380" s="76"/>
      <c r="E380" s="73" t="s">
        <v>265</v>
      </c>
      <c r="F380" s="215">
        <f>F381</f>
        <v>176.1</v>
      </c>
      <c r="G380" s="215">
        <f>G381</f>
        <v>175.6</v>
      </c>
      <c r="H380" s="62">
        <f t="shared" si="28"/>
        <v>99.7160704145372</v>
      </c>
    </row>
    <row r="381" spans="1:8" ht="39.75" customHeight="1">
      <c r="A381" s="50"/>
      <c r="B381" s="50"/>
      <c r="C381" s="65"/>
      <c r="D381" s="69" t="s">
        <v>35</v>
      </c>
      <c r="E381" s="73" t="s">
        <v>36</v>
      </c>
      <c r="F381" s="215">
        <v>176.1</v>
      </c>
      <c r="G381" s="218">
        <v>175.6</v>
      </c>
      <c r="H381" s="62">
        <f t="shared" si="28"/>
        <v>99.7160704145372</v>
      </c>
    </row>
    <row r="382" spans="1:8" ht="50.25" customHeight="1">
      <c r="A382" s="50"/>
      <c r="B382" s="50"/>
      <c r="C382" s="65" t="s">
        <v>268</v>
      </c>
      <c r="D382" s="65"/>
      <c r="E382" s="66" t="s">
        <v>201</v>
      </c>
      <c r="F382" s="215">
        <f>F383+F384+F385</f>
        <v>5341.499999999999</v>
      </c>
      <c r="G382" s="215">
        <f>G383+G384+G385</f>
        <v>5291.500000000001</v>
      </c>
      <c r="H382" s="62">
        <f t="shared" si="28"/>
        <v>99.0639333520547</v>
      </c>
    </row>
    <row r="383" spans="1:8" ht="53.25" customHeight="1">
      <c r="A383" s="50"/>
      <c r="B383" s="50"/>
      <c r="C383" s="65"/>
      <c r="D383" s="65" t="s">
        <v>4</v>
      </c>
      <c r="E383" s="66" t="s">
        <v>114</v>
      </c>
      <c r="F383" s="215">
        <v>4365.7</v>
      </c>
      <c r="G383" s="218">
        <v>4334.1</v>
      </c>
      <c r="H383" s="62">
        <f t="shared" si="28"/>
        <v>99.27617564193602</v>
      </c>
    </row>
    <row r="384" spans="1:8" ht="39.75" customHeight="1">
      <c r="A384" s="50"/>
      <c r="B384" s="50"/>
      <c r="C384" s="65"/>
      <c r="D384" s="69" t="s">
        <v>7</v>
      </c>
      <c r="E384" s="66" t="s">
        <v>549</v>
      </c>
      <c r="F384" s="215">
        <v>957.4</v>
      </c>
      <c r="G384" s="215">
        <v>956.3</v>
      </c>
      <c r="H384" s="62">
        <f t="shared" si="28"/>
        <v>99.88510549404637</v>
      </c>
    </row>
    <row r="385" spans="1:8" ht="19.5" customHeight="1">
      <c r="A385" s="50"/>
      <c r="B385" s="76"/>
      <c r="C385" s="65"/>
      <c r="D385" s="65" t="s">
        <v>8</v>
      </c>
      <c r="E385" s="66" t="s">
        <v>9</v>
      </c>
      <c r="F385" s="215">
        <v>18.4</v>
      </c>
      <c r="G385" s="215">
        <v>1.1</v>
      </c>
      <c r="H385" s="62">
        <f t="shared" si="28"/>
        <v>5.978260869565219</v>
      </c>
    </row>
    <row r="386" spans="1:8" ht="30" customHeight="1">
      <c r="A386" s="50"/>
      <c r="B386" s="76"/>
      <c r="C386" s="65" t="s">
        <v>998</v>
      </c>
      <c r="D386" s="65"/>
      <c r="E386" s="66" t="s">
        <v>999</v>
      </c>
      <c r="F386" s="215">
        <f>F387</f>
        <v>96.6</v>
      </c>
      <c r="G386" s="215">
        <f>G387</f>
        <v>92.9</v>
      </c>
      <c r="H386" s="62">
        <f t="shared" si="28"/>
        <v>96.16977225672879</v>
      </c>
    </row>
    <row r="387" spans="1:8" ht="40.5" customHeight="1">
      <c r="A387" s="50"/>
      <c r="B387" s="76"/>
      <c r="C387" s="65"/>
      <c r="D387" s="69" t="s">
        <v>7</v>
      </c>
      <c r="E387" s="66" t="s">
        <v>549</v>
      </c>
      <c r="F387" s="215">
        <v>96.6</v>
      </c>
      <c r="G387" s="215">
        <v>92.9</v>
      </c>
      <c r="H387" s="62">
        <f t="shared" si="28"/>
        <v>96.16977225672879</v>
      </c>
    </row>
    <row r="388" spans="1:8" ht="25.5" customHeight="1">
      <c r="A388" s="50"/>
      <c r="B388" s="65" t="s">
        <v>55</v>
      </c>
      <c r="C388" s="65"/>
      <c r="D388" s="65"/>
      <c r="E388" s="66" t="s">
        <v>56</v>
      </c>
      <c r="F388" s="215">
        <f aca="true" t="shared" si="34" ref="F388:G392">F389</f>
        <v>354.5</v>
      </c>
      <c r="G388" s="215">
        <f t="shared" si="34"/>
        <v>354.5</v>
      </c>
      <c r="H388" s="62">
        <f t="shared" si="28"/>
        <v>100</v>
      </c>
    </row>
    <row r="389" spans="1:8" ht="51">
      <c r="A389" s="50"/>
      <c r="B389" s="65"/>
      <c r="C389" s="65" t="s">
        <v>254</v>
      </c>
      <c r="D389" s="69"/>
      <c r="E389" s="68" t="s">
        <v>84</v>
      </c>
      <c r="F389" s="215">
        <f t="shared" si="34"/>
        <v>354.5</v>
      </c>
      <c r="G389" s="215">
        <f t="shared" si="34"/>
        <v>354.5</v>
      </c>
      <c r="H389" s="62">
        <f t="shared" si="28"/>
        <v>100</v>
      </c>
    </row>
    <row r="390" spans="1:8" ht="28.5" customHeight="1">
      <c r="A390" s="50"/>
      <c r="B390" s="65"/>
      <c r="C390" s="65" t="s">
        <v>255</v>
      </c>
      <c r="D390" s="69"/>
      <c r="E390" s="73" t="s">
        <v>256</v>
      </c>
      <c r="F390" s="215">
        <f t="shared" si="34"/>
        <v>354.5</v>
      </c>
      <c r="G390" s="215">
        <f t="shared" si="34"/>
        <v>354.5</v>
      </c>
      <c r="H390" s="62">
        <f t="shared" si="28"/>
        <v>100</v>
      </c>
    </row>
    <row r="391" spans="1:8" ht="25.5">
      <c r="A391" s="50"/>
      <c r="B391" s="65"/>
      <c r="C391" s="65" t="s">
        <v>262</v>
      </c>
      <c r="D391" s="69"/>
      <c r="E391" s="73" t="s">
        <v>263</v>
      </c>
      <c r="F391" s="215">
        <f t="shared" si="34"/>
        <v>354.5</v>
      </c>
      <c r="G391" s="215">
        <f t="shared" si="34"/>
        <v>354.5</v>
      </c>
      <c r="H391" s="62">
        <f t="shared" si="28"/>
        <v>100</v>
      </c>
    </row>
    <row r="392" spans="1:8" ht="51">
      <c r="A392" s="50"/>
      <c r="B392" s="65"/>
      <c r="C392" s="65" t="s">
        <v>268</v>
      </c>
      <c r="D392" s="65"/>
      <c r="E392" s="66" t="s">
        <v>201</v>
      </c>
      <c r="F392" s="215">
        <f t="shared" si="34"/>
        <v>354.5</v>
      </c>
      <c r="G392" s="215">
        <f t="shared" si="34"/>
        <v>354.5</v>
      </c>
      <c r="H392" s="62">
        <f t="shared" si="28"/>
        <v>100</v>
      </c>
    </row>
    <row r="393" spans="1:8" ht="38.25">
      <c r="A393" s="50"/>
      <c r="B393" s="65"/>
      <c r="C393" s="65"/>
      <c r="D393" s="69" t="s">
        <v>35</v>
      </c>
      <c r="E393" s="73" t="s">
        <v>36</v>
      </c>
      <c r="F393" s="215">
        <v>354.5</v>
      </c>
      <c r="G393" s="215">
        <v>354.5</v>
      </c>
      <c r="H393" s="62">
        <f t="shared" si="28"/>
        <v>100</v>
      </c>
    </row>
    <row r="394" spans="1:8" ht="15">
      <c r="A394" s="50"/>
      <c r="B394" s="76" t="s">
        <v>57</v>
      </c>
      <c r="C394" s="50"/>
      <c r="D394" s="65"/>
      <c r="E394" s="72" t="s">
        <v>73</v>
      </c>
      <c r="F394" s="215">
        <f aca="true" t="shared" si="35" ref="F394:G398">F395</f>
        <v>3358.4</v>
      </c>
      <c r="G394" s="215">
        <f t="shared" si="35"/>
        <v>1418.4</v>
      </c>
      <c r="H394" s="62">
        <f t="shared" si="28"/>
        <v>42.23439733206289</v>
      </c>
    </row>
    <row r="395" spans="1:8" ht="15">
      <c r="A395" s="50"/>
      <c r="B395" s="76">
        <v>1003</v>
      </c>
      <c r="C395" s="50"/>
      <c r="D395" s="50"/>
      <c r="E395" s="72" t="s">
        <v>61</v>
      </c>
      <c r="F395" s="215">
        <f>F396+F402</f>
        <v>3358.4</v>
      </c>
      <c r="G395" s="215">
        <f>G396+G402</f>
        <v>1418.4</v>
      </c>
      <c r="H395" s="62">
        <f t="shared" si="28"/>
        <v>42.23439733206289</v>
      </c>
    </row>
    <row r="396" spans="1:8" ht="51.75" customHeight="1">
      <c r="A396" s="50"/>
      <c r="B396" s="76"/>
      <c r="C396" s="65" t="s">
        <v>254</v>
      </c>
      <c r="D396" s="69"/>
      <c r="E396" s="68" t="s">
        <v>84</v>
      </c>
      <c r="F396" s="215">
        <f t="shared" si="35"/>
        <v>74.5</v>
      </c>
      <c r="G396" s="215">
        <f t="shared" si="35"/>
        <v>74.5</v>
      </c>
      <c r="H396" s="62">
        <f t="shared" si="28"/>
        <v>100</v>
      </c>
    </row>
    <row r="397" spans="1:8" ht="27" customHeight="1">
      <c r="A397" s="50"/>
      <c r="B397" s="76"/>
      <c r="C397" s="65" t="s">
        <v>255</v>
      </c>
      <c r="D397" s="69"/>
      <c r="E397" s="73" t="s">
        <v>256</v>
      </c>
      <c r="F397" s="215">
        <f t="shared" si="35"/>
        <v>74.5</v>
      </c>
      <c r="G397" s="215">
        <f t="shared" si="35"/>
        <v>74.5</v>
      </c>
      <c r="H397" s="62">
        <f t="shared" si="28"/>
        <v>100</v>
      </c>
    </row>
    <row r="398" spans="1:8" ht="25.5">
      <c r="A398" s="50"/>
      <c r="B398" s="76"/>
      <c r="C398" s="65" t="s">
        <v>262</v>
      </c>
      <c r="D398" s="69"/>
      <c r="E398" s="73" t="s">
        <v>263</v>
      </c>
      <c r="F398" s="215">
        <f t="shared" si="35"/>
        <v>74.5</v>
      </c>
      <c r="G398" s="215">
        <f t="shared" si="35"/>
        <v>74.5</v>
      </c>
      <c r="H398" s="62">
        <f t="shared" si="28"/>
        <v>100</v>
      </c>
    </row>
    <row r="399" spans="1:8" ht="116.25" customHeight="1">
      <c r="A399" s="50"/>
      <c r="B399" s="76"/>
      <c r="C399" s="65" t="s">
        <v>613</v>
      </c>
      <c r="D399" s="65"/>
      <c r="E399" s="73" t="s">
        <v>614</v>
      </c>
      <c r="F399" s="215">
        <f>F400+F401</f>
        <v>74.5</v>
      </c>
      <c r="G399" s="215">
        <f>G400+G401</f>
        <v>74.5</v>
      </c>
      <c r="H399" s="62">
        <f t="shared" si="28"/>
        <v>100</v>
      </c>
    </row>
    <row r="400" spans="1:8" ht="40.5" customHeight="1">
      <c r="A400" s="50"/>
      <c r="B400" s="76"/>
      <c r="C400" s="50"/>
      <c r="D400" s="65" t="s">
        <v>4</v>
      </c>
      <c r="E400" s="66" t="s">
        <v>114</v>
      </c>
      <c r="F400" s="215">
        <v>57.3</v>
      </c>
      <c r="G400" s="215">
        <v>57.3</v>
      </c>
      <c r="H400" s="62">
        <f t="shared" si="28"/>
        <v>100</v>
      </c>
    </row>
    <row r="401" spans="1:8" ht="25.5">
      <c r="A401" s="50"/>
      <c r="B401" s="76"/>
      <c r="C401" s="65"/>
      <c r="D401" s="69" t="s">
        <v>14</v>
      </c>
      <c r="E401" s="73" t="s">
        <v>15</v>
      </c>
      <c r="F401" s="215">
        <v>17.2</v>
      </c>
      <c r="G401" s="215">
        <v>17.2</v>
      </c>
      <c r="H401" s="62">
        <f t="shared" si="28"/>
        <v>100</v>
      </c>
    </row>
    <row r="402" spans="1:8" ht="63.75">
      <c r="A402" s="50"/>
      <c r="B402" s="76"/>
      <c r="C402" s="65" t="s">
        <v>1000</v>
      </c>
      <c r="D402" s="69"/>
      <c r="E402" s="73" t="s">
        <v>782</v>
      </c>
      <c r="F402" s="215">
        <f aca="true" t="shared" si="36" ref="F402:G404">F403</f>
        <v>3283.9</v>
      </c>
      <c r="G402" s="215">
        <f t="shared" si="36"/>
        <v>1343.9</v>
      </c>
      <c r="H402" s="62">
        <f t="shared" si="28"/>
        <v>40.923901458631505</v>
      </c>
    </row>
    <row r="403" spans="1:8" ht="25.5">
      <c r="A403" s="50"/>
      <c r="B403" s="76"/>
      <c r="C403" s="65" t="s">
        <v>1001</v>
      </c>
      <c r="D403" s="69"/>
      <c r="E403" s="73" t="s">
        <v>618</v>
      </c>
      <c r="F403" s="215">
        <f t="shared" si="36"/>
        <v>3283.9</v>
      </c>
      <c r="G403" s="215">
        <f t="shared" si="36"/>
        <v>1343.9</v>
      </c>
      <c r="H403" s="62">
        <f t="shared" si="28"/>
        <v>40.923901458631505</v>
      </c>
    </row>
    <row r="404" spans="1:8" ht="89.25">
      <c r="A404" s="50"/>
      <c r="B404" s="76"/>
      <c r="C404" s="65" t="s">
        <v>671</v>
      </c>
      <c r="D404" s="69"/>
      <c r="E404" s="73" t="s">
        <v>672</v>
      </c>
      <c r="F404" s="215">
        <f t="shared" si="36"/>
        <v>3283.9</v>
      </c>
      <c r="G404" s="215">
        <f t="shared" si="36"/>
        <v>1343.9</v>
      </c>
      <c r="H404" s="62">
        <f t="shared" si="28"/>
        <v>40.923901458631505</v>
      </c>
    </row>
    <row r="405" spans="1:8" ht="25.5">
      <c r="A405" s="50"/>
      <c r="B405" s="76"/>
      <c r="C405" s="65"/>
      <c r="D405" s="69" t="s">
        <v>14</v>
      </c>
      <c r="E405" s="73" t="s">
        <v>15</v>
      </c>
      <c r="F405" s="215">
        <v>3283.9</v>
      </c>
      <c r="G405" s="215">
        <v>1343.9</v>
      </c>
      <c r="H405" s="62">
        <f t="shared" si="28"/>
        <v>40.923901458631505</v>
      </c>
    </row>
    <row r="406" spans="1:8" ht="15" customHeight="1">
      <c r="A406" s="50"/>
      <c r="B406" s="65" t="s">
        <v>63</v>
      </c>
      <c r="C406" s="65"/>
      <c r="D406" s="69"/>
      <c r="E406" s="73" t="s">
        <v>86</v>
      </c>
      <c r="F406" s="215">
        <f aca="true" t="shared" si="37" ref="F406:G409">F407</f>
        <v>742.3</v>
      </c>
      <c r="G406" s="215">
        <f t="shared" si="37"/>
        <v>611.9</v>
      </c>
      <c r="H406" s="62">
        <f t="shared" si="28"/>
        <v>82.43297858008891</v>
      </c>
    </row>
    <row r="407" spans="1:8" ht="15">
      <c r="A407" s="50"/>
      <c r="B407" s="65" t="s">
        <v>64</v>
      </c>
      <c r="C407" s="65"/>
      <c r="D407" s="69"/>
      <c r="E407" s="73" t="s">
        <v>87</v>
      </c>
      <c r="F407" s="215">
        <f t="shared" si="37"/>
        <v>742.3</v>
      </c>
      <c r="G407" s="215">
        <f t="shared" si="37"/>
        <v>611.9</v>
      </c>
      <c r="H407" s="62">
        <f t="shared" si="28"/>
        <v>82.43297858008891</v>
      </c>
    </row>
    <row r="408" spans="1:8" ht="51">
      <c r="A408" s="50"/>
      <c r="B408" s="65"/>
      <c r="C408" s="65" t="s">
        <v>254</v>
      </c>
      <c r="D408" s="69"/>
      <c r="E408" s="68" t="s">
        <v>84</v>
      </c>
      <c r="F408" s="215">
        <f t="shared" si="37"/>
        <v>742.3</v>
      </c>
      <c r="G408" s="215">
        <f t="shared" si="37"/>
        <v>611.9</v>
      </c>
      <c r="H408" s="62">
        <f t="shared" si="28"/>
        <v>82.43297858008891</v>
      </c>
    </row>
    <row r="409" spans="1:8" ht="26.25" customHeight="1">
      <c r="A409" s="50"/>
      <c r="B409" s="65"/>
      <c r="C409" s="83" t="s">
        <v>275</v>
      </c>
      <c r="D409" s="69"/>
      <c r="E409" s="73" t="s">
        <v>276</v>
      </c>
      <c r="F409" s="215">
        <f t="shared" si="37"/>
        <v>742.3</v>
      </c>
      <c r="G409" s="215">
        <f t="shared" si="37"/>
        <v>611.9</v>
      </c>
      <c r="H409" s="62">
        <f t="shared" si="28"/>
        <v>82.43297858008891</v>
      </c>
    </row>
    <row r="410" spans="1:8" ht="25.5" customHeight="1">
      <c r="A410" s="50"/>
      <c r="B410" s="65"/>
      <c r="C410" s="65" t="s">
        <v>277</v>
      </c>
      <c r="D410" s="50"/>
      <c r="E410" s="66" t="s">
        <v>278</v>
      </c>
      <c r="F410" s="215">
        <f>F411+F413</f>
        <v>742.3</v>
      </c>
      <c r="G410" s="215">
        <f>G411+G413</f>
        <v>611.9</v>
      </c>
      <c r="H410" s="62">
        <f t="shared" si="28"/>
        <v>82.43297858008891</v>
      </c>
    </row>
    <row r="411" spans="1:8" ht="38.25" customHeight="1">
      <c r="A411" s="50"/>
      <c r="B411" s="65"/>
      <c r="C411" s="65" t="s">
        <v>280</v>
      </c>
      <c r="D411" s="65"/>
      <c r="E411" s="66" t="s">
        <v>281</v>
      </c>
      <c r="F411" s="215">
        <f>F412</f>
        <v>301.5</v>
      </c>
      <c r="G411" s="215">
        <f>G412</f>
        <v>171.1</v>
      </c>
      <c r="H411" s="62">
        <f t="shared" si="28"/>
        <v>56.74958540630182</v>
      </c>
    </row>
    <row r="412" spans="1:8" ht="38.25">
      <c r="A412" s="50"/>
      <c r="B412" s="65"/>
      <c r="C412" s="65"/>
      <c r="D412" s="69" t="s">
        <v>35</v>
      </c>
      <c r="E412" s="73" t="s">
        <v>36</v>
      </c>
      <c r="F412" s="215">
        <v>301.5</v>
      </c>
      <c r="G412" s="215">
        <v>171.1</v>
      </c>
      <c r="H412" s="62">
        <f aca="true" t="shared" si="38" ref="H412:H504">G412/F412*100</f>
        <v>56.74958540630182</v>
      </c>
    </row>
    <row r="413" spans="1:8" ht="51">
      <c r="A413" s="50"/>
      <c r="B413" s="65"/>
      <c r="C413" s="65" t="s">
        <v>279</v>
      </c>
      <c r="D413" s="65"/>
      <c r="E413" s="66" t="s">
        <v>201</v>
      </c>
      <c r="F413" s="215">
        <f>F414</f>
        <v>440.8</v>
      </c>
      <c r="G413" s="215">
        <f>G414</f>
        <v>440.8</v>
      </c>
      <c r="H413" s="62">
        <f t="shared" si="38"/>
        <v>100</v>
      </c>
    </row>
    <row r="414" spans="1:8" ht="38.25">
      <c r="A414" s="50"/>
      <c r="B414" s="65"/>
      <c r="C414" s="65"/>
      <c r="D414" s="69" t="s">
        <v>35</v>
      </c>
      <c r="E414" s="73" t="s">
        <v>36</v>
      </c>
      <c r="F414" s="215">
        <v>440.8</v>
      </c>
      <c r="G414" s="215">
        <v>440.8</v>
      </c>
      <c r="H414" s="62">
        <f t="shared" si="38"/>
        <v>100</v>
      </c>
    </row>
    <row r="415" spans="1:8" ht="38.25">
      <c r="A415" s="63">
        <v>633</v>
      </c>
      <c r="B415" s="50"/>
      <c r="C415" s="50"/>
      <c r="D415" s="50"/>
      <c r="E415" s="64" t="s">
        <v>733</v>
      </c>
      <c r="F415" s="216">
        <f aca="true" t="shared" si="39" ref="F415:G421">F416</f>
        <v>1278</v>
      </c>
      <c r="G415" s="216">
        <f t="shared" si="39"/>
        <v>1278</v>
      </c>
      <c r="H415" s="56">
        <f t="shared" si="38"/>
        <v>100</v>
      </c>
    </row>
    <row r="416" spans="1:8" ht="15">
      <c r="A416" s="50"/>
      <c r="B416" s="65" t="s">
        <v>44</v>
      </c>
      <c r="C416" s="65"/>
      <c r="D416" s="65"/>
      <c r="E416" s="66" t="s">
        <v>81</v>
      </c>
      <c r="F416" s="215">
        <f t="shared" si="39"/>
        <v>1278</v>
      </c>
      <c r="G416" s="215">
        <f t="shared" si="39"/>
        <v>1278</v>
      </c>
      <c r="H416" s="62">
        <f t="shared" si="38"/>
        <v>100</v>
      </c>
    </row>
    <row r="417" spans="1:8" ht="15">
      <c r="A417" s="50"/>
      <c r="B417" s="65" t="s">
        <v>657</v>
      </c>
      <c r="C417" s="65"/>
      <c r="D417" s="65"/>
      <c r="E417" s="66" t="s">
        <v>658</v>
      </c>
      <c r="F417" s="215">
        <f t="shared" si="39"/>
        <v>1278</v>
      </c>
      <c r="G417" s="215">
        <f t="shared" si="39"/>
        <v>1278</v>
      </c>
      <c r="H417" s="62">
        <f t="shared" si="38"/>
        <v>100</v>
      </c>
    </row>
    <row r="418" spans="1:8" ht="38.25">
      <c r="A418" s="50"/>
      <c r="B418" s="50"/>
      <c r="C418" s="65" t="s">
        <v>237</v>
      </c>
      <c r="D418" s="49"/>
      <c r="E418" s="68" t="s">
        <v>82</v>
      </c>
      <c r="F418" s="215">
        <f t="shared" si="39"/>
        <v>1278</v>
      </c>
      <c r="G418" s="215">
        <f t="shared" si="39"/>
        <v>1278</v>
      </c>
      <c r="H418" s="62">
        <f t="shared" si="38"/>
        <v>100</v>
      </c>
    </row>
    <row r="419" spans="1:8" ht="38.25">
      <c r="A419" s="50"/>
      <c r="B419" s="50"/>
      <c r="C419" s="65" t="s">
        <v>249</v>
      </c>
      <c r="D419" s="50"/>
      <c r="E419" s="68" t="s">
        <v>250</v>
      </c>
      <c r="F419" s="215">
        <f t="shared" si="39"/>
        <v>1278</v>
      </c>
      <c r="G419" s="215">
        <f t="shared" si="39"/>
        <v>1278</v>
      </c>
      <c r="H419" s="62">
        <f t="shared" si="38"/>
        <v>100</v>
      </c>
    </row>
    <row r="420" spans="1:8" ht="51">
      <c r="A420" s="50"/>
      <c r="B420" s="50"/>
      <c r="C420" s="65" t="s">
        <v>251</v>
      </c>
      <c r="D420" s="65"/>
      <c r="E420" s="66" t="s">
        <v>252</v>
      </c>
      <c r="F420" s="215">
        <f t="shared" si="39"/>
        <v>1278</v>
      </c>
      <c r="G420" s="215">
        <f t="shared" si="39"/>
        <v>1278</v>
      </c>
      <c r="H420" s="62">
        <f t="shared" si="38"/>
        <v>100</v>
      </c>
    </row>
    <row r="421" spans="1:8" ht="63.75">
      <c r="A421" s="50"/>
      <c r="B421" s="50"/>
      <c r="C421" s="65" t="s">
        <v>307</v>
      </c>
      <c r="D421" s="69"/>
      <c r="E421" s="73" t="s">
        <v>308</v>
      </c>
      <c r="F421" s="215">
        <f t="shared" si="39"/>
        <v>1278</v>
      </c>
      <c r="G421" s="215">
        <f t="shared" si="39"/>
        <v>1278</v>
      </c>
      <c r="H421" s="62">
        <f t="shared" si="38"/>
        <v>100</v>
      </c>
    </row>
    <row r="422" spans="1:8" ht="38.25">
      <c r="A422" s="50"/>
      <c r="B422" s="50"/>
      <c r="C422" s="50"/>
      <c r="D422" s="65" t="s">
        <v>35</v>
      </c>
      <c r="E422" s="66" t="s">
        <v>83</v>
      </c>
      <c r="F422" s="215">
        <v>1278</v>
      </c>
      <c r="G422" s="215">
        <v>1278</v>
      </c>
      <c r="H422" s="62">
        <f t="shared" si="38"/>
        <v>100</v>
      </c>
    </row>
    <row r="423" spans="1:8" ht="25.5">
      <c r="A423" s="63">
        <v>670</v>
      </c>
      <c r="B423" s="50"/>
      <c r="C423" s="50"/>
      <c r="D423" s="76"/>
      <c r="E423" s="64" t="s">
        <v>734</v>
      </c>
      <c r="F423" s="216">
        <f>F424+F486</f>
        <v>14513.400000000001</v>
      </c>
      <c r="G423" s="216">
        <f>G424+G486+G467+G473</f>
        <v>11792.6</v>
      </c>
      <c r="H423" s="56">
        <f t="shared" si="38"/>
        <v>81.25318671021262</v>
      </c>
    </row>
    <row r="424" spans="1:8" ht="15">
      <c r="A424" s="50"/>
      <c r="B424" s="65" t="s">
        <v>0</v>
      </c>
      <c r="C424" s="65"/>
      <c r="D424" s="65"/>
      <c r="E424" s="66" t="s">
        <v>168</v>
      </c>
      <c r="F424" s="215">
        <f>F435+F457+F463+F425+F430</f>
        <v>6458.6</v>
      </c>
      <c r="G424" s="215">
        <f>G435+G457+G463+G425+G430</f>
        <v>4829.2</v>
      </c>
      <c r="H424" s="62">
        <f t="shared" si="38"/>
        <v>74.77162233301334</v>
      </c>
    </row>
    <row r="425" spans="1:8" ht="51">
      <c r="A425" s="50"/>
      <c r="B425" s="65" t="s">
        <v>1</v>
      </c>
      <c r="C425" s="50"/>
      <c r="D425" s="50"/>
      <c r="E425" s="67" t="s">
        <v>2</v>
      </c>
      <c r="F425" s="215">
        <f aca="true" t="shared" si="40" ref="F425:G428">F426</f>
        <v>0</v>
      </c>
      <c r="G425" s="215">
        <f t="shared" si="40"/>
        <v>-124.1</v>
      </c>
      <c r="H425" s="62">
        <v>0</v>
      </c>
    </row>
    <row r="426" spans="1:8" ht="51" customHeight="1">
      <c r="A426" s="50"/>
      <c r="B426" s="50"/>
      <c r="C426" s="65" t="s">
        <v>282</v>
      </c>
      <c r="D426" s="49"/>
      <c r="E426" s="68" t="s">
        <v>76</v>
      </c>
      <c r="F426" s="215">
        <f t="shared" si="40"/>
        <v>0</v>
      </c>
      <c r="G426" s="215">
        <f t="shared" si="40"/>
        <v>-124.1</v>
      </c>
      <c r="H426" s="62">
        <v>0</v>
      </c>
    </row>
    <row r="427" spans="1:8" ht="53.25" customHeight="1">
      <c r="A427" s="50"/>
      <c r="B427" s="50"/>
      <c r="C427" s="65" t="s">
        <v>296</v>
      </c>
      <c r="D427" s="50"/>
      <c r="E427" s="66" t="s">
        <v>297</v>
      </c>
      <c r="F427" s="215">
        <f t="shared" si="40"/>
        <v>0</v>
      </c>
      <c r="G427" s="215">
        <f t="shared" si="40"/>
        <v>-124.1</v>
      </c>
      <c r="H427" s="62">
        <v>0</v>
      </c>
    </row>
    <row r="428" spans="1:8" ht="53.25" customHeight="1">
      <c r="A428" s="50"/>
      <c r="B428" s="50"/>
      <c r="C428" s="65" t="s">
        <v>628</v>
      </c>
      <c r="D428" s="50"/>
      <c r="E428" s="66" t="s">
        <v>298</v>
      </c>
      <c r="F428" s="215">
        <f t="shared" si="40"/>
        <v>0</v>
      </c>
      <c r="G428" s="215">
        <f t="shared" si="40"/>
        <v>-124.1</v>
      </c>
      <c r="H428" s="62">
        <v>0</v>
      </c>
    </row>
    <row r="429" spans="1:8" ht="15">
      <c r="A429" s="50"/>
      <c r="B429" s="50"/>
      <c r="C429" s="65"/>
      <c r="D429" s="65" t="s">
        <v>78</v>
      </c>
      <c r="E429" s="66" t="s">
        <v>79</v>
      </c>
      <c r="F429" s="215">
        <v>0</v>
      </c>
      <c r="G429" s="215">
        <v>-124.1</v>
      </c>
      <c r="H429" s="62">
        <v>0</v>
      </c>
    </row>
    <row r="430" spans="1:8" ht="76.5">
      <c r="A430" s="50"/>
      <c r="B430" s="65" t="s">
        <v>12</v>
      </c>
      <c r="C430" s="50"/>
      <c r="D430" s="50"/>
      <c r="E430" s="67" t="s">
        <v>13</v>
      </c>
      <c r="F430" s="215">
        <f aca="true" t="shared" si="41" ref="F430:G433">F431</f>
        <v>0</v>
      </c>
      <c r="G430" s="215">
        <f t="shared" si="41"/>
        <v>-377</v>
      </c>
      <c r="H430" s="62">
        <v>0</v>
      </c>
    </row>
    <row r="431" spans="1:8" ht="53.25" customHeight="1">
      <c r="A431" s="50"/>
      <c r="B431" s="50"/>
      <c r="C431" s="65" t="s">
        <v>282</v>
      </c>
      <c r="D431" s="49"/>
      <c r="E431" s="68" t="s">
        <v>76</v>
      </c>
      <c r="F431" s="215">
        <f t="shared" si="41"/>
        <v>0</v>
      </c>
      <c r="G431" s="215">
        <f t="shared" si="41"/>
        <v>-377</v>
      </c>
      <c r="H431" s="62">
        <v>0</v>
      </c>
    </row>
    <row r="432" spans="1:8" ht="52.5" customHeight="1">
      <c r="A432" s="50"/>
      <c r="B432" s="50"/>
      <c r="C432" s="65" t="s">
        <v>296</v>
      </c>
      <c r="D432" s="50"/>
      <c r="E432" s="66" t="s">
        <v>297</v>
      </c>
      <c r="F432" s="215">
        <f t="shared" si="41"/>
        <v>0</v>
      </c>
      <c r="G432" s="215">
        <f t="shared" si="41"/>
        <v>-377</v>
      </c>
      <c r="H432" s="62">
        <v>0</v>
      </c>
    </row>
    <row r="433" spans="1:8" ht="51.75" customHeight="1">
      <c r="A433" s="50"/>
      <c r="B433" s="50"/>
      <c r="C433" s="65" t="s">
        <v>628</v>
      </c>
      <c r="D433" s="50"/>
      <c r="E433" s="66" t="s">
        <v>298</v>
      </c>
      <c r="F433" s="215">
        <f t="shared" si="41"/>
        <v>0</v>
      </c>
      <c r="G433" s="215">
        <f t="shared" si="41"/>
        <v>-377</v>
      </c>
      <c r="H433" s="62">
        <v>0</v>
      </c>
    </row>
    <row r="434" spans="1:8" ht="15">
      <c r="A434" s="50"/>
      <c r="B434" s="50"/>
      <c r="C434" s="65"/>
      <c r="D434" s="65" t="s">
        <v>78</v>
      </c>
      <c r="E434" s="66" t="s">
        <v>79</v>
      </c>
      <c r="F434" s="215">
        <v>0</v>
      </c>
      <c r="G434" s="215">
        <v>-377</v>
      </c>
      <c r="H434" s="62">
        <v>0</v>
      </c>
    </row>
    <row r="435" spans="1:8" ht="51">
      <c r="A435" s="50"/>
      <c r="B435" s="65" t="s">
        <v>17</v>
      </c>
      <c r="C435" s="50"/>
      <c r="D435" s="76"/>
      <c r="E435" s="73" t="s">
        <v>18</v>
      </c>
      <c r="F435" s="215">
        <f>F436+F448</f>
        <v>5368.400000000001</v>
      </c>
      <c r="G435" s="215">
        <f>G436+G448</f>
        <v>5330.3</v>
      </c>
      <c r="H435" s="62">
        <f t="shared" si="38"/>
        <v>99.29029133447581</v>
      </c>
    </row>
    <row r="436" spans="1:8" ht="51">
      <c r="A436" s="50"/>
      <c r="B436" s="65"/>
      <c r="C436" s="65" t="s">
        <v>202</v>
      </c>
      <c r="D436" s="49"/>
      <c r="E436" s="68" t="s">
        <v>543</v>
      </c>
      <c r="F436" s="215">
        <f>F437</f>
        <v>148.8</v>
      </c>
      <c r="G436" s="215">
        <f>G437</f>
        <v>135</v>
      </c>
      <c r="H436" s="62">
        <f t="shared" si="38"/>
        <v>90.7258064516129</v>
      </c>
    </row>
    <row r="437" spans="1:8" ht="25.5">
      <c r="A437" s="50"/>
      <c r="B437" s="65"/>
      <c r="C437" s="65" t="s">
        <v>210</v>
      </c>
      <c r="D437" s="65"/>
      <c r="E437" s="66" t="s">
        <v>544</v>
      </c>
      <c r="F437" s="215">
        <f>F438+F445</f>
        <v>148.8</v>
      </c>
      <c r="G437" s="215">
        <f>G438+G445</f>
        <v>135</v>
      </c>
      <c r="H437" s="62">
        <f t="shared" si="38"/>
        <v>90.7258064516129</v>
      </c>
    </row>
    <row r="438" spans="1:8" ht="38.25" customHeight="1">
      <c r="A438" s="50"/>
      <c r="B438" s="65"/>
      <c r="C438" s="65" t="s">
        <v>545</v>
      </c>
      <c r="D438" s="69"/>
      <c r="E438" s="73" t="s">
        <v>546</v>
      </c>
      <c r="F438" s="215">
        <f>+F439+F441+F443</f>
        <v>118.8</v>
      </c>
      <c r="G438" s="215">
        <f>+G439+G441+G443</f>
        <v>105</v>
      </c>
      <c r="H438" s="62">
        <f t="shared" si="38"/>
        <v>88.38383838383838</v>
      </c>
    </row>
    <row r="439" spans="1:8" ht="38.25">
      <c r="A439" s="50"/>
      <c r="B439" s="65"/>
      <c r="C439" s="65" t="s">
        <v>547</v>
      </c>
      <c r="D439" s="65"/>
      <c r="E439" s="66" t="s">
        <v>548</v>
      </c>
      <c r="F439" s="215">
        <f>F440</f>
        <v>109.1</v>
      </c>
      <c r="G439" s="215">
        <f>G440</f>
        <v>96.8</v>
      </c>
      <c r="H439" s="62">
        <f t="shared" si="38"/>
        <v>88.72593950504125</v>
      </c>
    </row>
    <row r="440" spans="1:8" ht="41.25" customHeight="1">
      <c r="A440" s="50"/>
      <c r="B440" s="65"/>
      <c r="C440" s="65"/>
      <c r="D440" s="69" t="s">
        <v>7</v>
      </c>
      <c r="E440" s="66" t="s">
        <v>549</v>
      </c>
      <c r="F440" s="215">
        <v>109.1</v>
      </c>
      <c r="G440" s="215">
        <v>96.8</v>
      </c>
      <c r="H440" s="62">
        <f t="shared" si="38"/>
        <v>88.72593950504125</v>
      </c>
    </row>
    <row r="441" spans="1:8" ht="27.75" customHeight="1">
      <c r="A441" s="50"/>
      <c r="B441" s="65"/>
      <c r="C441" s="65" t="s">
        <v>550</v>
      </c>
      <c r="D441" s="65"/>
      <c r="E441" s="66" t="s">
        <v>551</v>
      </c>
      <c r="F441" s="215">
        <f>F442</f>
        <v>0.3</v>
      </c>
      <c r="G441" s="215">
        <f>G442</f>
        <v>0</v>
      </c>
      <c r="H441" s="62">
        <f t="shared" si="38"/>
        <v>0</v>
      </c>
    </row>
    <row r="442" spans="1:8" ht="40.5" customHeight="1">
      <c r="A442" s="50"/>
      <c r="B442" s="65"/>
      <c r="C442" s="65"/>
      <c r="D442" s="69" t="s">
        <v>7</v>
      </c>
      <c r="E442" s="66" t="s">
        <v>549</v>
      </c>
      <c r="F442" s="215">
        <v>0.3</v>
      </c>
      <c r="G442" s="215">
        <v>0</v>
      </c>
      <c r="H442" s="62">
        <f t="shared" si="38"/>
        <v>0</v>
      </c>
    </row>
    <row r="443" spans="1:8" ht="38.25">
      <c r="A443" s="50"/>
      <c r="B443" s="65"/>
      <c r="C443" s="65" t="s">
        <v>552</v>
      </c>
      <c r="D443" s="65"/>
      <c r="E443" s="66" t="s">
        <v>553</v>
      </c>
      <c r="F443" s="215">
        <f>F444</f>
        <v>9.4</v>
      </c>
      <c r="G443" s="215">
        <f>G444</f>
        <v>8.2</v>
      </c>
      <c r="H443" s="62">
        <f t="shared" si="38"/>
        <v>87.23404255319149</v>
      </c>
    </row>
    <row r="444" spans="1:8" ht="39" customHeight="1">
      <c r="A444" s="50"/>
      <c r="B444" s="65"/>
      <c r="C444" s="65"/>
      <c r="D444" s="69" t="s">
        <v>7</v>
      </c>
      <c r="E444" s="66" t="s">
        <v>549</v>
      </c>
      <c r="F444" s="215">
        <v>9.4</v>
      </c>
      <c r="G444" s="215">
        <v>8.2</v>
      </c>
      <c r="H444" s="62">
        <f t="shared" si="38"/>
        <v>87.23404255319149</v>
      </c>
    </row>
    <row r="445" spans="1:8" ht="38.25">
      <c r="A445" s="50"/>
      <c r="B445" s="65"/>
      <c r="C445" s="65" t="s">
        <v>554</v>
      </c>
      <c r="D445" s="65"/>
      <c r="E445" s="66" t="s">
        <v>555</v>
      </c>
      <c r="F445" s="215">
        <f>F446</f>
        <v>30</v>
      </c>
      <c r="G445" s="215">
        <f>G446</f>
        <v>30</v>
      </c>
      <c r="H445" s="62">
        <f t="shared" si="38"/>
        <v>100</v>
      </c>
    </row>
    <row r="446" spans="1:8" ht="25.5">
      <c r="A446" s="50"/>
      <c r="B446" s="65"/>
      <c r="C446" s="65" t="s">
        <v>556</v>
      </c>
      <c r="D446" s="65"/>
      <c r="E446" s="66" t="s">
        <v>557</v>
      </c>
      <c r="F446" s="215">
        <f>F447</f>
        <v>30</v>
      </c>
      <c r="G446" s="215">
        <f>G447</f>
        <v>30</v>
      </c>
      <c r="H446" s="62">
        <f t="shared" si="38"/>
        <v>100</v>
      </c>
    </row>
    <row r="447" spans="1:8" ht="42" customHeight="1">
      <c r="A447" s="50"/>
      <c r="B447" s="65"/>
      <c r="C447" s="65"/>
      <c r="D447" s="69" t="s">
        <v>7</v>
      </c>
      <c r="E447" s="66" t="s">
        <v>549</v>
      </c>
      <c r="F447" s="215">
        <v>30</v>
      </c>
      <c r="G447" s="215">
        <v>30</v>
      </c>
      <c r="H447" s="62">
        <f t="shared" si="38"/>
        <v>100</v>
      </c>
    </row>
    <row r="448" spans="1:8" ht="52.5" customHeight="1">
      <c r="A448" s="50"/>
      <c r="B448" s="50"/>
      <c r="C448" s="65" t="s">
        <v>282</v>
      </c>
      <c r="D448" s="49"/>
      <c r="E448" s="68" t="s">
        <v>76</v>
      </c>
      <c r="F448" s="215">
        <f>F449</f>
        <v>5219.6</v>
      </c>
      <c r="G448" s="215">
        <f>G449</f>
        <v>5195.3</v>
      </c>
      <c r="H448" s="62">
        <f t="shared" si="38"/>
        <v>99.53444708406775</v>
      </c>
    </row>
    <row r="449" spans="1:8" ht="27.75" customHeight="1">
      <c r="A449" s="50"/>
      <c r="B449" s="50"/>
      <c r="C449" s="65" t="s">
        <v>283</v>
      </c>
      <c r="D449" s="50"/>
      <c r="E449" s="66" t="s">
        <v>284</v>
      </c>
      <c r="F449" s="218">
        <f>F450+F454</f>
        <v>5219.6</v>
      </c>
      <c r="G449" s="218">
        <f>G450+G454</f>
        <v>5195.3</v>
      </c>
      <c r="H449" s="62">
        <f t="shared" si="38"/>
        <v>99.53444708406775</v>
      </c>
    </row>
    <row r="450" spans="1:8" ht="38.25">
      <c r="A450" s="50"/>
      <c r="B450" s="50"/>
      <c r="C450" s="65" t="s">
        <v>285</v>
      </c>
      <c r="D450" s="50"/>
      <c r="E450" s="68" t="s">
        <v>625</v>
      </c>
      <c r="F450" s="218">
        <f>F451</f>
        <v>5083.3</v>
      </c>
      <c r="G450" s="218">
        <f>G451</f>
        <v>5059</v>
      </c>
      <c r="H450" s="62">
        <f t="shared" si="38"/>
        <v>99.52196407845297</v>
      </c>
    </row>
    <row r="451" spans="1:8" ht="25.5">
      <c r="A451" s="50"/>
      <c r="B451" s="50"/>
      <c r="C451" s="65" t="s">
        <v>286</v>
      </c>
      <c r="D451" s="50"/>
      <c r="E451" s="68" t="s">
        <v>174</v>
      </c>
      <c r="F451" s="218">
        <f>F452+F453</f>
        <v>5083.3</v>
      </c>
      <c r="G451" s="218">
        <f>G452+G453</f>
        <v>5059</v>
      </c>
      <c r="H451" s="62">
        <f t="shared" si="38"/>
        <v>99.52196407845297</v>
      </c>
    </row>
    <row r="452" spans="1:8" ht="77.25" customHeight="1">
      <c r="A452" s="50"/>
      <c r="B452" s="50"/>
      <c r="C452" s="50"/>
      <c r="D452" s="65" t="s">
        <v>4</v>
      </c>
      <c r="E452" s="66" t="s">
        <v>114</v>
      </c>
      <c r="F452" s="218">
        <f>4480+550.8</f>
        <v>5030.8</v>
      </c>
      <c r="G452" s="215">
        <v>5029</v>
      </c>
      <c r="H452" s="62">
        <f t="shared" si="38"/>
        <v>99.96422040232169</v>
      </c>
    </row>
    <row r="453" spans="1:8" ht="37.5" customHeight="1">
      <c r="A453" s="50"/>
      <c r="B453" s="50"/>
      <c r="C453" s="50"/>
      <c r="D453" s="69" t="s">
        <v>7</v>
      </c>
      <c r="E453" s="66" t="s">
        <v>549</v>
      </c>
      <c r="F453" s="218">
        <v>52.5</v>
      </c>
      <c r="G453" s="215">
        <v>30</v>
      </c>
      <c r="H453" s="62">
        <f t="shared" si="38"/>
        <v>57.14285714285714</v>
      </c>
    </row>
    <row r="454" spans="1:8" ht="51">
      <c r="A454" s="50"/>
      <c r="B454" s="50"/>
      <c r="C454" s="90" t="s">
        <v>287</v>
      </c>
      <c r="D454" s="65"/>
      <c r="E454" s="66" t="s">
        <v>288</v>
      </c>
      <c r="F454" s="218">
        <f>F455</f>
        <v>136.3</v>
      </c>
      <c r="G454" s="218">
        <f>G455</f>
        <v>136.3</v>
      </c>
      <c r="H454" s="62">
        <f t="shared" si="38"/>
        <v>100</v>
      </c>
    </row>
    <row r="455" spans="1:8" ht="30" customHeight="1">
      <c r="A455" s="50"/>
      <c r="B455" s="50"/>
      <c r="C455" s="90" t="s">
        <v>626</v>
      </c>
      <c r="D455" s="65"/>
      <c r="E455" s="66" t="s">
        <v>223</v>
      </c>
      <c r="F455" s="218">
        <f>F456</f>
        <v>136.3</v>
      </c>
      <c r="G455" s="218">
        <f>G456</f>
        <v>136.3</v>
      </c>
      <c r="H455" s="62">
        <f t="shared" si="38"/>
        <v>100</v>
      </c>
    </row>
    <row r="456" spans="1:8" ht="78" customHeight="1">
      <c r="A456" s="50"/>
      <c r="B456" s="50"/>
      <c r="C456" s="50"/>
      <c r="D456" s="65" t="s">
        <v>4</v>
      </c>
      <c r="E456" s="66" t="s">
        <v>114</v>
      </c>
      <c r="F456" s="218">
        <v>136.3</v>
      </c>
      <c r="G456" s="215">
        <v>136.3</v>
      </c>
      <c r="H456" s="62">
        <f t="shared" si="38"/>
        <v>100</v>
      </c>
    </row>
    <row r="457" spans="1:8" ht="15">
      <c r="A457" s="50"/>
      <c r="B457" s="65" t="s">
        <v>20</v>
      </c>
      <c r="C457" s="50"/>
      <c r="D457" s="65"/>
      <c r="E457" s="72" t="s">
        <v>21</v>
      </c>
      <c r="F457" s="218">
        <f aca="true" t="shared" si="42" ref="F457:G461">F458</f>
        <v>150</v>
      </c>
      <c r="G457" s="218">
        <f t="shared" si="42"/>
        <v>0</v>
      </c>
      <c r="H457" s="62">
        <f t="shared" si="38"/>
        <v>0</v>
      </c>
    </row>
    <row r="458" spans="1:8" ht="52.5" customHeight="1">
      <c r="A458" s="50"/>
      <c r="B458" s="50"/>
      <c r="C458" s="65" t="s">
        <v>282</v>
      </c>
      <c r="D458" s="49"/>
      <c r="E458" s="68" t="s">
        <v>76</v>
      </c>
      <c r="F458" s="215">
        <f t="shared" si="42"/>
        <v>150</v>
      </c>
      <c r="G458" s="215">
        <f t="shared" si="42"/>
        <v>0</v>
      </c>
      <c r="H458" s="62">
        <f t="shared" si="38"/>
        <v>0</v>
      </c>
    </row>
    <row r="459" spans="1:8" ht="51">
      <c r="A459" s="50"/>
      <c r="B459" s="50"/>
      <c r="C459" s="65" t="s">
        <v>289</v>
      </c>
      <c r="D459" s="50"/>
      <c r="E459" s="66" t="s">
        <v>290</v>
      </c>
      <c r="F459" s="215">
        <f t="shared" si="42"/>
        <v>150</v>
      </c>
      <c r="G459" s="215">
        <f t="shared" si="42"/>
        <v>0</v>
      </c>
      <c r="H459" s="62">
        <f t="shared" si="38"/>
        <v>0</v>
      </c>
    </row>
    <row r="460" spans="1:8" ht="66.75" customHeight="1">
      <c r="A460" s="50"/>
      <c r="B460" s="50"/>
      <c r="C460" s="65" t="s">
        <v>291</v>
      </c>
      <c r="D460" s="50"/>
      <c r="E460" s="66" t="s">
        <v>292</v>
      </c>
      <c r="F460" s="215">
        <f t="shared" si="42"/>
        <v>150</v>
      </c>
      <c r="G460" s="215">
        <f t="shared" si="42"/>
        <v>0</v>
      </c>
      <c r="H460" s="62">
        <f t="shared" si="38"/>
        <v>0</v>
      </c>
    </row>
    <row r="461" spans="1:8" ht="25.5">
      <c r="A461" s="50"/>
      <c r="B461" s="50"/>
      <c r="C461" s="65" t="s">
        <v>293</v>
      </c>
      <c r="D461" s="50"/>
      <c r="E461" s="66" t="s">
        <v>627</v>
      </c>
      <c r="F461" s="215">
        <f t="shared" si="42"/>
        <v>150</v>
      </c>
      <c r="G461" s="215">
        <f t="shared" si="42"/>
        <v>0</v>
      </c>
      <c r="H461" s="62">
        <f t="shared" si="38"/>
        <v>0</v>
      </c>
    </row>
    <row r="462" spans="1:8" ht="15">
      <c r="A462" s="50"/>
      <c r="B462" s="50"/>
      <c r="C462" s="65"/>
      <c r="D462" s="65" t="s">
        <v>8</v>
      </c>
      <c r="E462" s="66" t="s">
        <v>9</v>
      </c>
      <c r="F462" s="215">
        <f>200-40-10</f>
        <v>150</v>
      </c>
      <c r="G462" s="215">
        <v>0</v>
      </c>
      <c r="H462" s="62">
        <f t="shared" si="38"/>
        <v>0</v>
      </c>
    </row>
    <row r="463" spans="1:8" ht="15">
      <c r="A463" s="50"/>
      <c r="B463" s="65" t="s">
        <v>22</v>
      </c>
      <c r="C463" s="50"/>
      <c r="D463" s="50"/>
      <c r="E463" s="72" t="s">
        <v>23</v>
      </c>
      <c r="F463" s="215">
        <f aca="true" t="shared" si="43" ref="F463:G465">F464</f>
        <v>940.2</v>
      </c>
      <c r="G463" s="215">
        <f t="shared" si="43"/>
        <v>0</v>
      </c>
      <c r="H463" s="62">
        <f t="shared" si="38"/>
        <v>0</v>
      </c>
    </row>
    <row r="464" spans="1:8" ht="54.75" customHeight="1">
      <c r="A464" s="50"/>
      <c r="B464" s="50"/>
      <c r="C464" s="65" t="s">
        <v>208</v>
      </c>
      <c r="D464" s="49"/>
      <c r="E464" s="68" t="s">
        <v>24</v>
      </c>
      <c r="F464" s="215">
        <f t="shared" si="43"/>
        <v>940.2</v>
      </c>
      <c r="G464" s="215">
        <f t="shared" si="43"/>
        <v>0</v>
      </c>
      <c r="H464" s="62">
        <f t="shared" si="38"/>
        <v>0</v>
      </c>
    </row>
    <row r="465" spans="1:8" ht="76.5">
      <c r="A465" s="50"/>
      <c r="B465" s="50"/>
      <c r="C465" s="65" t="s">
        <v>1002</v>
      </c>
      <c r="D465" s="65"/>
      <c r="E465" s="66" t="s">
        <v>1003</v>
      </c>
      <c r="F465" s="215">
        <f t="shared" si="43"/>
        <v>940.2</v>
      </c>
      <c r="G465" s="215">
        <f t="shared" si="43"/>
        <v>0</v>
      </c>
      <c r="H465" s="62">
        <f t="shared" si="38"/>
        <v>0</v>
      </c>
    </row>
    <row r="466" spans="1:8" ht="15">
      <c r="A466" s="50"/>
      <c r="B466" s="50"/>
      <c r="C466" s="65"/>
      <c r="D466" s="65" t="s">
        <v>8</v>
      </c>
      <c r="E466" s="66" t="s">
        <v>9</v>
      </c>
      <c r="F466" s="215">
        <v>940.2</v>
      </c>
      <c r="G466" s="215">
        <v>0</v>
      </c>
      <c r="H466" s="62">
        <v>0</v>
      </c>
    </row>
    <row r="467" spans="1:8" ht="38.25">
      <c r="A467" s="50"/>
      <c r="B467" s="65" t="s">
        <v>26</v>
      </c>
      <c r="C467" s="50"/>
      <c r="D467" s="65"/>
      <c r="E467" s="67" t="s">
        <v>71</v>
      </c>
      <c r="F467" s="215">
        <f aca="true" t="shared" si="44" ref="F467:G471">F468</f>
        <v>0</v>
      </c>
      <c r="G467" s="215">
        <f t="shared" si="44"/>
        <v>-59.8</v>
      </c>
      <c r="H467" s="62">
        <v>0</v>
      </c>
    </row>
    <row r="468" spans="1:8" ht="15">
      <c r="A468" s="50"/>
      <c r="B468" s="65" t="s">
        <v>707</v>
      </c>
      <c r="C468" s="50"/>
      <c r="D468" s="65"/>
      <c r="E468" s="66" t="s">
        <v>708</v>
      </c>
      <c r="F468" s="215">
        <f t="shared" si="44"/>
        <v>0</v>
      </c>
      <c r="G468" s="215">
        <f t="shared" si="44"/>
        <v>-59.8</v>
      </c>
      <c r="H468" s="62">
        <v>0</v>
      </c>
    </row>
    <row r="469" spans="1:8" ht="54" customHeight="1">
      <c r="A469" s="50"/>
      <c r="B469" s="50"/>
      <c r="C469" s="65" t="s">
        <v>282</v>
      </c>
      <c r="D469" s="49"/>
      <c r="E469" s="68" t="s">
        <v>76</v>
      </c>
      <c r="F469" s="215">
        <f t="shared" si="44"/>
        <v>0</v>
      </c>
      <c r="G469" s="215">
        <f t="shared" si="44"/>
        <v>-59.8</v>
      </c>
      <c r="H469" s="62">
        <v>0</v>
      </c>
    </row>
    <row r="470" spans="1:8" ht="52.5" customHeight="1">
      <c r="A470" s="50"/>
      <c r="B470" s="50"/>
      <c r="C470" s="65" t="s">
        <v>296</v>
      </c>
      <c r="D470" s="50"/>
      <c r="E470" s="66" t="s">
        <v>297</v>
      </c>
      <c r="F470" s="215">
        <f t="shared" si="44"/>
        <v>0</v>
      </c>
      <c r="G470" s="215">
        <f t="shared" si="44"/>
        <v>-59.8</v>
      </c>
      <c r="H470" s="62">
        <v>0</v>
      </c>
    </row>
    <row r="471" spans="1:8" ht="54.75" customHeight="1">
      <c r="A471" s="50"/>
      <c r="B471" s="50"/>
      <c r="C471" s="65" t="s">
        <v>628</v>
      </c>
      <c r="D471" s="50"/>
      <c r="E471" s="66" t="s">
        <v>298</v>
      </c>
      <c r="F471" s="215">
        <f t="shared" si="44"/>
        <v>0</v>
      </c>
      <c r="G471" s="215">
        <f t="shared" si="44"/>
        <v>-59.8</v>
      </c>
      <c r="H471" s="62">
        <v>0</v>
      </c>
    </row>
    <row r="472" spans="1:8" ht="15">
      <c r="A472" s="50"/>
      <c r="B472" s="50"/>
      <c r="C472" s="65"/>
      <c r="D472" s="65" t="s">
        <v>78</v>
      </c>
      <c r="E472" s="66" t="s">
        <v>79</v>
      </c>
      <c r="F472" s="215">
        <v>0</v>
      </c>
      <c r="G472" s="215">
        <v>-59.8</v>
      </c>
      <c r="H472" s="62">
        <v>0</v>
      </c>
    </row>
    <row r="473" spans="1:8" ht="25.5">
      <c r="A473" s="50"/>
      <c r="B473" s="65" t="s">
        <v>39</v>
      </c>
      <c r="C473" s="84"/>
      <c r="D473" s="81"/>
      <c r="E473" s="92" t="s">
        <v>77</v>
      </c>
      <c r="F473" s="215">
        <f>F474+F480</f>
        <v>0</v>
      </c>
      <c r="G473" s="215">
        <f>G474+G480</f>
        <v>-1031.6</v>
      </c>
      <c r="H473" s="62">
        <v>0</v>
      </c>
    </row>
    <row r="474" spans="1:8" ht="15">
      <c r="A474" s="50"/>
      <c r="B474" s="65" t="s">
        <v>40</v>
      </c>
      <c r="C474" s="65"/>
      <c r="D474" s="69"/>
      <c r="E474" s="67" t="s">
        <v>41</v>
      </c>
      <c r="F474" s="215">
        <f aca="true" t="shared" si="45" ref="F474:G478">F475</f>
        <v>0</v>
      </c>
      <c r="G474" s="215">
        <f t="shared" si="45"/>
        <v>-970.6</v>
      </c>
      <c r="H474" s="62">
        <v>0</v>
      </c>
    </row>
    <row r="475" spans="1:8" ht="51.75" customHeight="1">
      <c r="A475" s="50"/>
      <c r="B475" s="50"/>
      <c r="C475" s="65" t="s">
        <v>282</v>
      </c>
      <c r="D475" s="49"/>
      <c r="E475" s="68" t="s">
        <v>76</v>
      </c>
      <c r="F475" s="215">
        <f t="shared" si="45"/>
        <v>0</v>
      </c>
      <c r="G475" s="215">
        <f t="shared" si="45"/>
        <v>-970.6</v>
      </c>
      <c r="H475" s="62">
        <v>0</v>
      </c>
    </row>
    <row r="476" spans="1:8" ht="51">
      <c r="A476" s="50"/>
      <c r="B476" s="50"/>
      <c r="C476" s="65" t="s">
        <v>294</v>
      </c>
      <c r="D476" s="50"/>
      <c r="E476" s="66" t="s">
        <v>295</v>
      </c>
      <c r="F476" s="215">
        <f t="shared" si="45"/>
        <v>0</v>
      </c>
      <c r="G476" s="215">
        <f t="shared" si="45"/>
        <v>-970.6</v>
      </c>
      <c r="H476" s="62">
        <v>0</v>
      </c>
    </row>
    <row r="477" spans="1:8" ht="51.75" customHeight="1">
      <c r="A477" s="50"/>
      <c r="B477" s="50"/>
      <c r="C477" s="65" t="s">
        <v>296</v>
      </c>
      <c r="D477" s="50"/>
      <c r="E477" s="66" t="s">
        <v>297</v>
      </c>
      <c r="F477" s="215">
        <f t="shared" si="45"/>
        <v>0</v>
      </c>
      <c r="G477" s="215">
        <f t="shared" si="45"/>
        <v>-970.6</v>
      </c>
      <c r="H477" s="62">
        <v>0</v>
      </c>
    </row>
    <row r="478" spans="1:8" ht="56.25" customHeight="1">
      <c r="A478" s="50"/>
      <c r="B478" s="50"/>
      <c r="C478" s="65" t="s">
        <v>628</v>
      </c>
      <c r="D478" s="50"/>
      <c r="E478" s="66" t="s">
        <v>298</v>
      </c>
      <c r="F478" s="215">
        <f t="shared" si="45"/>
        <v>0</v>
      </c>
      <c r="G478" s="215">
        <f t="shared" si="45"/>
        <v>-970.6</v>
      </c>
      <c r="H478" s="62">
        <v>0</v>
      </c>
    </row>
    <row r="479" spans="1:8" ht="15">
      <c r="A479" s="50"/>
      <c r="B479" s="50"/>
      <c r="C479" s="65"/>
      <c r="D479" s="65" t="s">
        <v>78</v>
      </c>
      <c r="E479" s="66" t="s">
        <v>79</v>
      </c>
      <c r="F479" s="215">
        <v>0</v>
      </c>
      <c r="G479" s="215">
        <v>-970.6</v>
      </c>
      <c r="H479" s="62">
        <v>0</v>
      </c>
    </row>
    <row r="480" spans="1:8" ht="15">
      <c r="A480" s="50"/>
      <c r="B480" s="65" t="s">
        <v>366</v>
      </c>
      <c r="C480" s="50"/>
      <c r="D480" s="69"/>
      <c r="E480" s="67" t="s">
        <v>367</v>
      </c>
      <c r="F480" s="215">
        <f aca="true" t="shared" si="46" ref="F480:G484">F481</f>
        <v>0</v>
      </c>
      <c r="G480" s="215">
        <f t="shared" si="46"/>
        <v>-61</v>
      </c>
      <c r="H480" s="62">
        <v>0</v>
      </c>
    </row>
    <row r="481" spans="1:8" ht="54.75" customHeight="1">
      <c r="A481" s="50"/>
      <c r="B481" s="50"/>
      <c r="C481" s="65" t="s">
        <v>282</v>
      </c>
      <c r="D481" s="49"/>
      <c r="E481" s="68" t="s">
        <v>76</v>
      </c>
      <c r="F481" s="215">
        <f t="shared" si="46"/>
        <v>0</v>
      </c>
      <c r="G481" s="215">
        <f t="shared" si="46"/>
        <v>-61</v>
      </c>
      <c r="H481" s="62">
        <v>0</v>
      </c>
    </row>
    <row r="482" spans="1:8" ht="51">
      <c r="A482" s="50"/>
      <c r="B482" s="50"/>
      <c r="C482" s="65" t="s">
        <v>294</v>
      </c>
      <c r="D482" s="50"/>
      <c r="E482" s="66" t="s">
        <v>295</v>
      </c>
      <c r="F482" s="215">
        <f t="shared" si="46"/>
        <v>0</v>
      </c>
      <c r="G482" s="215">
        <f t="shared" si="46"/>
        <v>-61</v>
      </c>
      <c r="H482" s="62">
        <v>0</v>
      </c>
    </row>
    <row r="483" spans="1:8" ht="51" customHeight="1">
      <c r="A483" s="50"/>
      <c r="B483" s="50"/>
      <c r="C483" s="65" t="s">
        <v>296</v>
      </c>
      <c r="D483" s="50"/>
      <c r="E483" s="66" t="s">
        <v>297</v>
      </c>
      <c r="F483" s="215">
        <f t="shared" si="46"/>
        <v>0</v>
      </c>
      <c r="G483" s="215">
        <f t="shared" si="46"/>
        <v>-61</v>
      </c>
      <c r="H483" s="62">
        <v>0</v>
      </c>
    </row>
    <row r="484" spans="1:8" ht="55.5" customHeight="1">
      <c r="A484" s="50"/>
      <c r="B484" s="50"/>
      <c r="C484" s="65" t="s">
        <v>628</v>
      </c>
      <c r="D484" s="50"/>
      <c r="E484" s="66" t="s">
        <v>298</v>
      </c>
      <c r="F484" s="215">
        <f t="shared" si="46"/>
        <v>0</v>
      </c>
      <c r="G484" s="215">
        <f t="shared" si="46"/>
        <v>-61</v>
      </c>
      <c r="H484" s="62">
        <v>0</v>
      </c>
    </row>
    <row r="485" spans="1:8" ht="15">
      <c r="A485" s="50"/>
      <c r="B485" s="50"/>
      <c r="C485" s="65"/>
      <c r="D485" s="65" t="s">
        <v>78</v>
      </c>
      <c r="E485" s="66" t="s">
        <v>79</v>
      </c>
      <c r="F485" s="215">
        <v>0</v>
      </c>
      <c r="G485" s="215">
        <v>-61</v>
      </c>
      <c r="H485" s="62">
        <v>0</v>
      </c>
    </row>
    <row r="486" spans="1:8" ht="54" customHeight="1">
      <c r="A486" s="50"/>
      <c r="B486" s="65" t="s">
        <v>65</v>
      </c>
      <c r="C486" s="50"/>
      <c r="D486" s="65"/>
      <c r="E486" s="67" t="s">
        <v>115</v>
      </c>
      <c r="F486" s="218">
        <f aca="true" t="shared" si="47" ref="F486:G491">F487</f>
        <v>8054.8</v>
      </c>
      <c r="G486" s="218">
        <f t="shared" si="47"/>
        <v>8054.8</v>
      </c>
      <c r="H486" s="62">
        <f t="shared" si="38"/>
        <v>100</v>
      </c>
    </row>
    <row r="487" spans="1:8" ht="55.5" customHeight="1">
      <c r="A487" s="50"/>
      <c r="B487" s="65" t="s">
        <v>66</v>
      </c>
      <c r="C487" s="50"/>
      <c r="D487" s="76"/>
      <c r="E487" s="67" t="s">
        <v>121</v>
      </c>
      <c r="F487" s="215">
        <f t="shared" si="47"/>
        <v>8054.8</v>
      </c>
      <c r="G487" s="215">
        <f t="shared" si="47"/>
        <v>8054.8</v>
      </c>
      <c r="H487" s="62">
        <f t="shared" si="38"/>
        <v>100</v>
      </c>
    </row>
    <row r="488" spans="1:8" ht="50.25" customHeight="1">
      <c r="A488" s="50"/>
      <c r="B488" s="50"/>
      <c r="C488" s="65" t="s">
        <v>282</v>
      </c>
      <c r="D488" s="49"/>
      <c r="E488" s="68" t="s">
        <v>76</v>
      </c>
      <c r="F488" s="218">
        <f t="shared" si="47"/>
        <v>8054.8</v>
      </c>
      <c r="G488" s="218">
        <f t="shared" si="47"/>
        <v>8054.8</v>
      </c>
      <c r="H488" s="62">
        <f t="shared" si="38"/>
        <v>100</v>
      </c>
    </row>
    <row r="489" spans="1:8" ht="51">
      <c r="A489" s="50"/>
      <c r="B489" s="50"/>
      <c r="C489" s="65" t="s">
        <v>294</v>
      </c>
      <c r="D489" s="50"/>
      <c r="E489" s="66" t="s">
        <v>295</v>
      </c>
      <c r="F489" s="215">
        <f t="shared" si="47"/>
        <v>8054.8</v>
      </c>
      <c r="G489" s="215">
        <f t="shared" si="47"/>
        <v>8054.8</v>
      </c>
      <c r="H489" s="62">
        <f t="shared" si="38"/>
        <v>100</v>
      </c>
    </row>
    <row r="490" spans="1:8" ht="52.5" customHeight="1">
      <c r="A490" s="50"/>
      <c r="B490" s="50"/>
      <c r="C490" s="65" t="s">
        <v>296</v>
      </c>
      <c r="D490" s="50"/>
      <c r="E490" s="66" t="s">
        <v>297</v>
      </c>
      <c r="F490" s="215">
        <f t="shared" si="47"/>
        <v>8054.8</v>
      </c>
      <c r="G490" s="215">
        <f t="shared" si="47"/>
        <v>8054.8</v>
      </c>
      <c r="H490" s="62">
        <f t="shared" si="38"/>
        <v>100</v>
      </c>
    </row>
    <row r="491" spans="1:8" ht="39" customHeight="1">
      <c r="A491" s="50"/>
      <c r="B491" s="50"/>
      <c r="C491" s="65" t="s">
        <v>629</v>
      </c>
      <c r="D491" s="50"/>
      <c r="E491" s="66" t="s">
        <v>299</v>
      </c>
      <c r="F491" s="215">
        <f t="shared" si="47"/>
        <v>8054.8</v>
      </c>
      <c r="G491" s="215">
        <f t="shared" si="47"/>
        <v>8054.8</v>
      </c>
      <c r="H491" s="62">
        <f t="shared" si="38"/>
        <v>100</v>
      </c>
    </row>
    <row r="492" spans="1:8" ht="14.25" customHeight="1">
      <c r="A492" s="50"/>
      <c r="B492" s="50"/>
      <c r="C492" s="65"/>
      <c r="D492" s="65" t="s">
        <v>78</v>
      </c>
      <c r="E492" s="66" t="s">
        <v>79</v>
      </c>
      <c r="F492" s="215">
        <v>8054.8</v>
      </c>
      <c r="G492" s="215">
        <v>8054.8</v>
      </c>
      <c r="H492" s="62">
        <f t="shared" si="38"/>
        <v>100</v>
      </c>
    </row>
    <row r="493" spans="1:8" ht="25.5">
      <c r="A493" s="63">
        <v>702</v>
      </c>
      <c r="B493" s="50"/>
      <c r="C493" s="50"/>
      <c r="D493" s="50"/>
      <c r="E493" s="64" t="s">
        <v>167</v>
      </c>
      <c r="F493" s="216">
        <f>F494+F579+F638+F663+F670+F687+F707+F726</f>
        <v>158047.32700000002</v>
      </c>
      <c r="G493" s="216">
        <f>G494+G579+G638+G663+G670+G687+G707+G726</f>
        <v>158047.32700000002</v>
      </c>
      <c r="H493" s="56">
        <f t="shared" si="38"/>
        <v>100</v>
      </c>
    </row>
    <row r="494" spans="1:8" ht="15">
      <c r="A494" s="50"/>
      <c r="B494" s="65" t="s">
        <v>0</v>
      </c>
      <c r="C494" s="65"/>
      <c r="D494" s="65"/>
      <c r="E494" s="66" t="s">
        <v>168</v>
      </c>
      <c r="F494" s="215">
        <f>F495+F501+F538+F542</f>
        <v>27646.5</v>
      </c>
      <c r="G494" s="215">
        <f>G495+G501+G538+G542</f>
        <v>27646.5</v>
      </c>
      <c r="H494" s="62">
        <f t="shared" si="38"/>
        <v>100</v>
      </c>
    </row>
    <row r="495" spans="1:8" ht="51">
      <c r="A495" s="50"/>
      <c r="B495" s="65" t="s">
        <v>1</v>
      </c>
      <c r="C495" s="50"/>
      <c r="D495" s="50"/>
      <c r="E495" s="67" t="s">
        <v>2</v>
      </c>
      <c r="F495" s="215">
        <f aca="true" t="shared" si="48" ref="F495:G499">F496</f>
        <v>3050.5</v>
      </c>
      <c r="G495" s="215">
        <f t="shared" si="48"/>
        <v>3050.5</v>
      </c>
      <c r="H495" s="62">
        <f t="shared" si="38"/>
        <v>100</v>
      </c>
    </row>
    <row r="496" spans="1:8" ht="51">
      <c r="A496" s="50"/>
      <c r="B496" s="65"/>
      <c r="C496" s="65" t="s">
        <v>169</v>
      </c>
      <c r="D496" s="49"/>
      <c r="E496" s="68" t="s">
        <v>68</v>
      </c>
      <c r="F496" s="215">
        <f t="shared" si="48"/>
        <v>3050.5</v>
      </c>
      <c r="G496" s="215">
        <f t="shared" si="48"/>
        <v>3050.5</v>
      </c>
      <c r="H496" s="62">
        <f t="shared" si="38"/>
        <v>100</v>
      </c>
    </row>
    <row r="497" spans="1:8" ht="51">
      <c r="A497" s="50"/>
      <c r="B497" s="65"/>
      <c r="C497" s="65" t="s">
        <v>170</v>
      </c>
      <c r="D497" s="65"/>
      <c r="E497" s="66" t="s">
        <v>690</v>
      </c>
      <c r="F497" s="215">
        <f t="shared" si="48"/>
        <v>3050.5</v>
      </c>
      <c r="G497" s="215">
        <f t="shared" si="48"/>
        <v>3050.5</v>
      </c>
      <c r="H497" s="62">
        <f t="shared" si="38"/>
        <v>100</v>
      </c>
    </row>
    <row r="498" spans="1:8" ht="39.75" customHeight="1">
      <c r="A498" s="50"/>
      <c r="B498" s="65"/>
      <c r="C498" s="65" t="s">
        <v>171</v>
      </c>
      <c r="D498" s="69"/>
      <c r="E498" s="73" t="s">
        <v>691</v>
      </c>
      <c r="F498" s="215">
        <f t="shared" si="48"/>
        <v>3050.5</v>
      </c>
      <c r="G498" s="215">
        <f t="shared" si="48"/>
        <v>3050.5</v>
      </c>
      <c r="H498" s="62">
        <f t="shared" si="38"/>
        <v>100</v>
      </c>
    </row>
    <row r="499" spans="1:8" ht="25.5">
      <c r="A499" s="50"/>
      <c r="B499" s="65"/>
      <c r="C499" s="65" t="s">
        <v>172</v>
      </c>
      <c r="D499" s="65"/>
      <c r="E499" s="66" t="s">
        <v>3</v>
      </c>
      <c r="F499" s="215">
        <f t="shared" si="48"/>
        <v>3050.5</v>
      </c>
      <c r="G499" s="215">
        <f t="shared" si="48"/>
        <v>3050.5</v>
      </c>
      <c r="H499" s="62">
        <f t="shared" si="38"/>
        <v>100</v>
      </c>
    </row>
    <row r="500" spans="1:8" ht="78.75" customHeight="1">
      <c r="A500" s="50"/>
      <c r="B500" s="65"/>
      <c r="C500" s="50"/>
      <c r="D500" s="65" t="s">
        <v>4</v>
      </c>
      <c r="E500" s="66" t="s">
        <v>114</v>
      </c>
      <c r="F500" s="215">
        <v>3050.5</v>
      </c>
      <c r="G500" s="215">
        <v>3050.5</v>
      </c>
      <c r="H500" s="62">
        <f t="shared" si="38"/>
        <v>100</v>
      </c>
    </row>
    <row r="501" spans="1:8" ht="28.5" customHeight="1">
      <c r="A501" s="50"/>
      <c r="B501" s="65" t="s">
        <v>12</v>
      </c>
      <c r="C501" s="50"/>
      <c r="D501" s="50"/>
      <c r="E501" s="67" t="s">
        <v>13</v>
      </c>
      <c r="F501" s="215">
        <f>F502+F514+F535</f>
        <v>20004.8</v>
      </c>
      <c r="G501" s="215">
        <f>G502+G514+G535</f>
        <v>20004.8</v>
      </c>
      <c r="H501" s="62">
        <f t="shared" si="38"/>
        <v>100</v>
      </c>
    </row>
    <row r="502" spans="1:8" ht="51">
      <c r="A502" s="50"/>
      <c r="B502" s="65"/>
      <c r="C502" s="65" t="s">
        <v>202</v>
      </c>
      <c r="D502" s="49"/>
      <c r="E502" s="68" t="s">
        <v>543</v>
      </c>
      <c r="F502" s="215">
        <f>F503</f>
        <v>283.5</v>
      </c>
      <c r="G502" s="215">
        <f>G503</f>
        <v>283.5</v>
      </c>
      <c r="H502" s="62">
        <f t="shared" si="38"/>
        <v>100</v>
      </c>
    </row>
    <row r="503" spans="1:8" ht="27" customHeight="1">
      <c r="A503" s="50"/>
      <c r="B503" s="65"/>
      <c r="C503" s="65" t="s">
        <v>210</v>
      </c>
      <c r="D503" s="65"/>
      <c r="E503" s="66" t="s">
        <v>544</v>
      </c>
      <c r="F503" s="215">
        <f>F504+F511</f>
        <v>283.5</v>
      </c>
      <c r="G503" s="215">
        <f>G504+G511</f>
        <v>283.5</v>
      </c>
      <c r="H503" s="62">
        <f t="shared" si="38"/>
        <v>100</v>
      </c>
    </row>
    <row r="504" spans="1:8" ht="38.25">
      <c r="A504" s="50"/>
      <c r="B504" s="65"/>
      <c r="C504" s="65" t="s">
        <v>545</v>
      </c>
      <c r="D504" s="69"/>
      <c r="E504" s="73" t="s">
        <v>546</v>
      </c>
      <c r="F504" s="215">
        <f>+F505+F507+F509</f>
        <v>99.3</v>
      </c>
      <c r="G504" s="215">
        <f>+G505+G507+G509</f>
        <v>99.3</v>
      </c>
      <c r="H504" s="62">
        <f t="shared" si="38"/>
        <v>100</v>
      </c>
    </row>
    <row r="505" spans="1:8" ht="38.25">
      <c r="A505" s="50"/>
      <c r="B505" s="65"/>
      <c r="C505" s="65" t="s">
        <v>547</v>
      </c>
      <c r="D505" s="65"/>
      <c r="E505" s="66" t="s">
        <v>548</v>
      </c>
      <c r="F505" s="215">
        <f>F506</f>
        <v>33.599999999999994</v>
      </c>
      <c r="G505" s="215">
        <f>G506</f>
        <v>33.599999999999994</v>
      </c>
      <c r="H505" s="62">
        <f aca="true" t="shared" si="49" ref="H505:H568">G505/F505*100</f>
        <v>100</v>
      </c>
    </row>
    <row r="506" spans="1:8" ht="42" customHeight="1">
      <c r="A506" s="50"/>
      <c r="B506" s="65"/>
      <c r="C506" s="65"/>
      <c r="D506" s="69" t="s">
        <v>7</v>
      </c>
      <c r="E506" s="66" t="s">
        <v>549</v>
      </c>
      <c r="F506" s="215">
        <f>152-50.9-67.5</f>
        <v>33.599999999999994</v>
      </c>
      <c r="G506" s="215">
        <f>152-50.9-67.5</f>
        <v>33.599999999999994</v>
      </c>
      <c r="H506" s="62">
        <f t="shared" si="49"/>
        <v>100</v>
      </c>
    </row>
    <row r="507" spans="1:8" ht="25.5">
      <c r="A507" s="50"/>
      <c r="B507" s="65"/>
      <c r="C507" s="65" t="s">
        <v>550</v>
      </c>
      <c r="D507" s="65"/>
      <c r="E507" s="66" t="s">
        <v>551</v>
      </c>
      <c r="F507" s="215">
        <f>F508</f>
        <v>5.6</v>
      </c>
      <c r="G507" s="215">
        <f>G508</f>
        <v>5.6</v>
      </c>
      <c r="H507" s="62">
        <f t="shared" si="49"/>
        <v>100</v>
      </c>
    </row>
    <row r="508" spans="1:8" ht="40.5" customHeight="1">
      <c r="A508" s="50"/>
      <c r="B508" s="65"/>
      <c r="C508" s="65"/>
      <c r="D508" s="69" t="s">
        <v>7</v>
      </c>
      <c r="E508" s="66" t="s">
        <v>549</v>
      </c>
      <c r="F508" s="215">
        <f>10-4.4</f>
        <v>5.6</v>
      </c>
      <c r="G508" s="215">
        <f>10-4.4</f>
        <v>5.6</v>
      </c>
      <c r="H508" s="62">
        <f t="shared" si="49"/>
        <v>100</v>
      </c>
    </row>
    <row r="509" spans="1:8" ht="38.25">
      <c r="A509" s="50"/>
      <c r="B509" s="65"/>
      <c r="C509" s="65" t="s">
        <v>552</v>
      </c>
      <c r="D509" s="65"/>
      <c r="E509" s="66" t="s">
        <v>553</v>
      </c>
      <c r="F509" s="215">
        <f>F510</f>
        <v>60.1</v>
      </c>
      <c r="G509" s="215">
        <f>G510</f>
        <v>60.1</v>
      </c>
      <c r="H509" s="62">
        <f t="shared" si="49"/>
        <v>100</v>
      </c>
    </row>
    <row r="510" spans="1:8" ht="39.75" customHeight="1">
      <c r="A510" s="50"/>
      <c r="B510" s="65"/>
      <c r="C510" s="65"/>
      <c r="D510" s="69" t="s">
        <v>7</v>
      </c>
      <c r="E510" s="66" t="s">
        <v>549</v>
      </c>
      <c r="F510" s="215">
        <f>207-108-38.9</f>
        <v>60.1</v>
      </c>
      <c r="G510" s="215">
        <f>207-108-38.9</f>
        <v>60.1</v>
      </c>
      <c r="H510" s="62">
        <f t="shared" si="49"/>
        <v>100</v>
      </c>
    </row>
    <row r="511" spans="1:8" ht="38.25">
      <c r="A511" s="50"/>
      <c r="B511" s="65"/>
      <c r="C511" s="65" t="s">
        <v>554</v>
      </c>
      <c r="D511" s="65"/>
      <c r="E511" s="66" t="s">
        <v>555</v>
      </c>
      <c r="F511" s="215">
        <f>F512</f>
        <v>184.20000000000002</v>
      </c>
      <c r="G511" s="215">
        <f>G512</f>
        <v>184.20000000000002</v>
      </c>
      <c r="H511" s="62">
        <f t="shared" si="49"/>
        <v>100</v>
      </c>
    </row>
    <row r="512" spans="1:8" ht="30.75" customHeight="1">
      <c r="A512" s="50"/>
      <c r="B512" s="65"/>
      <c r="C512" s="65" t="s">
        <v>556</v>
      </c>
      <c r="D512" s="65"/>
      <c r="E512" s="66" t="s">
        <v>557</v>
      </c>
      <c r="F512" s="215">
        <f>F513</f>
        <v>184.20000000000002</v>
      </c>
      <c r="G512" s="215">
        <f>G513</f>
        <v>184.20000000000002</v>
      </c>
      <c r="H512" s="62">
        <f t="shared" si="49"/>
        <v>100</v>
      </c>
    </row>
    <row r="513" spans="1:8" ht="40.5" customHeight="1">
      <c r="A513" s="50"/>
      <c r="B513" s="65"/>
      <c r="C513" s="65"/>
      <c r="D513" s="69" t="s">
        <v>7</v>
      </c>
      <c r="E513" s="66" t="s">
        <v>549</v>
      </c>
      <c r="F513" s="215">
        <f>340.3-21-135.1</f>
        <v>184.20000000000002</v>
      </c>
      <c r="G513" s="215">
        <f>340.3-21-135.1</f>
        <v>184.20000000000002</v>
      </c>
      <c r="H513" s="62">
        <f t="shared" si="49"/>
        <v>100</v>
      </c>
    </row>
    <row r="514" spans="1:8" ht="51" customHeight="1">
      <c r="A514" s="50"/>
      <c r="B514" s="65"/>
      <c r="C514" s="65" t="s">
        <v>169</v>
      </c>
      <c r="D514" s="49"/>
      <c r="E514" s="68" t="s">
        <v>68</v>
      </c>
      <c r="F514" s="215">
        <f>F515</f>
        <v>19680.2</v>
      </c>
      <c r="G514" s="215">
        <f>G515</f>
        <v>19680.2</v>
      </c>
      <c r="H514" s="62">
        <f t="shared" si="49"/>
        <v>100</v>
      </c>
    </row>
    <row r="515" spans="1:8" ht="28.5" customHeight="1">
      <c r="A515" s="50"/>
      <c r="B515" s="65"/>
      <c r="C515" s="65" t="s">
        <v>170</v>
      </c>
      <c r="D515" s="65"/>
      <c r="E515" s="66" t="s">
        <v>690</v>
      </c>
      <c r="F515" s="215">
        <f>F516</f>
        <v>19680.2</v>
      </c>
      <c r="G515" s="215">
        <f>G516</f>
        <v>19680.2</v>
      </c>
      <c r="H515" s="62">
        <f t="shared" si="49"/>
        <v>100</v>
      </c>
    </row>
    <row r="516" spans="1:8" ht="40.5" customHeight="1">
      <c r="A516" s="50"/>
      <c r="B516" s="65"/>
      <c r="C516" s="65" t="s">
        <v>171</v>
      </c>
      <c r="D516" s="69"/>
      <c r="E516" s="73" t="s">
        <v>691</v>
      </c>
      <c r="F516" s="215">
        <f>F517+F521+F523+F525+F527+F529+F532</f>
        <v>19680.2</v>
      </c>
      <c r="G516" s="215">
        <f>G517+G521+G523+G525+G527+G529+G532</f>
        <v>19680.2</v>
      </c>
      <c r="H516" s="62">
        <f t="shared" si="49"/>
        <v>100</v>
      </c>
    </row>
    <row r="517" spans="1:8" ht="25.5">
      <c r="A517" s="50"/>
      <c r="B517" s="65"/>
      <c r="C517" s="65" t="s">
        <v>173</v>
      </c>
      <c r="D517" s="65"/>
      <c r="E517" s="66" t="s">
        <v>174</v>
      </c>
      <c r="F517" s="215">
        <f>F518+F519+F520</f>
        <v>18733.600000000002</v>
      </c>
      <c r="G517" s="215">
        <f>G518+G519+G520</f>
        <v>18733.600000000002</v>
      </c>
      <c r="H517" s="62">
        <f t="shared" si="49"/>
        <v>100</v>
      </c>
    </row>
    <row r="518" spans="1:8" ht="78.75" customHeight="1">
      <c r="A518" s="50"/>
      <c r="B518" s="65"/>
      <c r="C518" s="50"/>
      <c r="D518" s="65" t="s">
        <v>4</v>
      </c>
      <c r="E518" s="66" t="s">
        <v>114</v>
      </c>
      <c r="F518" s="215">
        <f>20539.2+1.3+65.1+142.8+7542.2-1472.3-10061.4</f>
        <v>16756.9</v>
      </c>
      <c r="G518" s="215">
        <f>20539.2+1.3+65.1+142.8+7542.2-1472.3-10061.4</f>
        <v>16756.9</v>
      </c>
      <c r="H518" s="62">
        <f t="shared" si="49"/>
        <v>100</v>
      </c>
    </row>
    <row r="519" spans="1:8" ht="39" customHeight="1">
      <c r="A519" s="50"/>
      <c r="B519" s="65"/>
      <c r="C519" s="50"/>
      <c r="D519" s="69" t="s">
        <v>7</v>
      </c>
      <c r="E519" s="66" t="s">
        <v>549</v>
      </c>
      <c r="F519" s="215">
        <f>4145.7-1.3-65.1+347.3-715.1-746.7-1191.1</f>
        <v>1773.6999999999994</v>
      </c>
      <c r="G519" s="215">
        <f>4145.7-1.3-65.1+347.3-715.1-746.7-1191.1</f>
        <v>1773.6999999999994</v>
      </c>
      <c r="H519" s="62">
        <f t="shared" si="49"/>
        <v>100</v>
      </c>
    </row>
    <row r="520" spans="1:8" ht="15">
      <c r="A520" s="50"/>
      <c r="B520" s="65"/>
      <c r="C520" s="50"/>
      <c r="D520" s="65" t="s">
        <v>8</v>
      </c>
      <c r="E520" s="66" t="s">
        <v>9</v>
      </c>
      <c r="F520" s="215">
        <f>281.1-78.1</f>
        <v>203.00000000000003</v>
      </c>
      <c r="G520" s="215">
        <f>281.1-78.1</f>
        <v>203.00000000000003</v>
      </c>
      <c r="H520" s="62">
        <f t="shared" si="49"/>
        <v>100</v>
      </c>
    </row>
    <row r="521" spans="1:8" ht="27" customHeight="1">
      <c r="A521" s="50"/>
      <c r="B521" s="65"/>
      <c r="C521" s="65" t="s">
        <v>692</v>
      </c>
      <c r="D521" s="65"/>
      <c r="E521" s="66" t="s">
        <v>693</v>
      </c>
      <c r="F521" s="215">
        <f>F522</f>
        <v>1.5999999999999999</v>
      </c>
      <c r="G521" s="215">
        <f>G522</f>
        <v>1.5999999999999999</v>
      </c>
      <c r="H521" s="62">
        <f t="shared" si="49"/>
        <v>100</v>
      </c>
    </row>
    <row r="522" spans="1:8" ht="39.75" customHeight="1">
      <c r="A522" s="50"/>
      <c r="B522" s="65"/>
      <c r="C522" s="50"/>
      <c r="D522" s="69" t="s">
        <v>7</v>
      </c>
      <c r="E522" s="66" t="s">
        <v>549</v>
      </c>
      <c r="F522" s="215">
        <f>3.3-1.7</f>
        <v>1.5999999999999999</v>
      </c>
      <c r="G522" s="215">
        <f>3.3-1.7</f>
        <v>1.5999999999999999</v>
      </c>
      <c r="H522" s="62">
        <f t="shared" si="49"/>
        <v>100</v>
      </c>
    </row>
    <row r="523" spans="1:8" ht="39" customHeight="1">
      <c r="A523" s="50"/>
      <c r="B523" s="65"/>
      <c r="C523" s="65" t="s">
        <v>564</v>
      </c>
      <c r="D523" s="65"/>
      <c r="E523" s="66" t="s">
        <v>344</v>
      </c>
      <c r="F523" s="215">
        <f>F524</f>
        <v>32.800000000000004</v>
      </c>
      <c r="G523" s="215">
        <f>G524</f>
        <v>32.800000000000004</v>
      </c>
      <c r="H523" s="62">
        <f t="shared" si="49"/>
        <v>100</v>
      </c>
    </row>
    <row r="524" spans="1:8" ht="77.25" customHeight="1">
      <c r="A524" s="50"/>
      <c r="B524" s="65"/>
      <c r="C524" s="65"/>
      <c r="D524" s="65" t="s">
        <v>4</v>
      </c>
      <c r="E524" s="66" t="s">
        <v>114</v>
      </c>
      <c r="F524" s="215">
        <f>43.7-10.9</f>
        <v>32.800000000000004</v>
      </c>
      <c r="G524" s="215">
        <f>43.7-10.9</f>
        <v>32.800000000000004</v>
      </c>
      <c r="H524" s="62">
        <f t="shared" si="49"/>
        <v>100</v>
      </c>
    </row>
    <row r="525" spans="1:8" ht="79.5" customHeight="1">
      <c r="A525" s="50"/>
      <c r="B525" s="65"/>
      <c r="C525" s="65" t="s">
        <v>560</v>
      </c>
      <c r="D525" s="65"/>
      <c r="E525" s="66" t="s">
        <v>694</v>
      </c>
      <c r="F525" s="215">
        <f>F526</f>
        <v>0.09999999999999998</v>
      </c>
      <c r="G525" s="215">
        <f>G526</f>
        <v>0.09999999999999998</v>
      </c>
      <c r="H525" s="62">
        <f t="shared" si="49"/>
        <v>100</v>
      </c>
    </row>
    <row r="526" spans="1:8" ht="37.5" customHeight="1">
      <c r="A526" s="50"/>
      <c r="B526" s="65"/>
      <c r="C526" s="50"/>
      <c r="D526" s="69" t="s">
        <v>7</v>
      </c>
      <c r="E526" s="66" t="s">
        <v>549</v>
      </c>
      <c r="F526" s="215">
        <f>0.3-0.2</f>
        <v>0.09999999999999998</v>
      </c>
      <c r="G526" s="215">
        <f>0.3-0.2</f>
        <v>0.09999999999999998</v>
      </c>
      <c r="H526" s="62">
        <f t="shared" si="49"/>
        <v>100</v>
      </c>
    </row>
    <row r="527" spans="1:8" ht="53.25" customHeight="1">
      <c r="A527" s="50"/>
      <c r="B527" s="50"/>
      <c r="C527" s="65" t="s">
        <v>562</v>
      </c>
      <c r="D527" s="65"/>
      <c r="E527" s="66" t="s">
        <v>696</v>
      </c>
      <c r="F527" s="215">
        <f>F528</f>
        <v>296.9</v>
      </c>
      <c r="G527" s="215">
        <f>G528</f>
        <v>296.9</v>
      </c>
      <c r="H527" s="62">
        <f t="shared" si="49"/>
        <v>100</v>
      </c>
    </row>
    <row r="528" spans="1:8" ht="76.5" customHeight="1">
      <c r="A528" s="50"/>
      <c r="B528" s="50"/>
      <c r="C528" s="65"/>
      <c r="D528" s="65" t="s">
        <v>4</v>
      </c>
      <c r="E528" s="66" t="s">
        <v>114</v>
      </c>
      <c r="F528" s="215">
        <f>502.2-205.3</f>
        <v>296.9</v>
      </c>
      <c r="G528" s="215">
        <f>502.2-205.3</f>
        <v>296.9</v>
      </c>
      <c r="H528" s="62">
        <f t="shared" si="49"/>
        <v>100</v>
      </c>
    </row>
    <row r="529" spans="1:8" ht="41.25" customHeight="1">
      <c r="A529" s="50"/>
      <c r="B529" s="50"/>
      <c r="C529" s="65" t="s">
        <v>563</v>
      </c>
      <c r="D529" s="65"/>
      <c r="E529" s="66" t="s">
        <v>697</v>
      </c>
      <c r="F529" s="215">
        <f>F530+F531</f>
        <v>499.00000000000006</v>
      </c>
      <c r="G529" s="215">
        <f>G530+G531</f>
        <v>499.00000000000006</v>
      </c>
      <c r="H529" s="62">
        <f t="shared" si="49"/>
        <v>100</v>
      </c>
    </row>
    <row r="530" spans="1:8" ht="41.25" customHeight="1">
      <c r="A530" s="50"/>
      <c r="B530" s="50"/>
      <c r="C530" s="65"/>
      <c r="D530" s="65" t="s">
        <v>4</v>
      </c>
      <c r="E530" s="66" t="s">
        <v>114</v>
      </c>
      <c r="F530" s="215">
        <f>809.7+19.5-331.7</f>
        <v>497.50000000000006</v>
      </c>
      <c r="G530" s="215">
        <f>809.7+19.5-331.7</f>
        <v>497.50000000000006</v>
      </c>
      <c r="H530" s="62">
        <f t="shared" si="49"/>
        <v>100</v>
      </c>
    </row>
    <row r="531" spans="1:8" ht="36.75" customHeight="1">
      <c r="A531" s="50"/>
      <c r="B531" s="50"/>
      <c r="C531" s="65"/>
      <c r="D531" s="69" t="s">
        <v>7</v>
      </c>
      <c r="E531" s="66" t="s">
        <v>549</v>
      </c>
      <c r="F531" s="215">
        <f>21-19.5</f>
        <v>1.5</v>
      </c>
      <c r="G531" s="215">
        <f>21-19.5</f>
        <v>1.5</v>
      </c>
      <c r="H531" s="62">
        <f t="shared" si="49"/>
        <v>100</v>
      </c>
    </row>
    <row r="532" spans="1:8" ht="40.5" customHeight="1">
      <c r="A532" s="50"/>
      <c r="B532" s="50"/>
      <c r="C532" s="65" t="s">
        <v>175</v>
      </c>
      <c r="D532" s="65"/>
      <c r="E532" s="66" t="s">
        <v>698</v>
      </c>
      <c r="F532" s="215">
        <f>F533+F534</f>
        <v>116.19999999999999</v>
      </c>
      <c r="G532" s="215">
        <f>G533+G534</f>
        <v>116.19999999999999</v>
      </c>
      <c r="H532" s="62">
        <f t="shared" si="49"/>
        <v>100</v>
      </c>
    </row>
    <row r="533" spans="1:8" ht="77.25" customHeight="1">
      <c r="A533" s="50"/>
      <c r="B533" s="50"/>
      <c r="C533" s="65"/>
      <c r="D533" s="65" t="s">
        <v>4</v>
      </c>
      <c r="E533" s="66" t="s">
        <v>114</v>
      </c>
      <c r="F533" s="215">
        <f>173.6+14-72.4</f>
        <v>115.19999999999999</v>
      </c>
      <c r="G533" s="215">
        <f>173.6+14-72.4</f>
        <v>115.19999999999999</v>
      </c>
      <c r="H533" s="62">
        <f t="shared" si="49"/>
        <v>100</v>
      </c>
    </row>
    <row r="534" spans="1:8" ht="38.25" customHeight="1">
      <c r="A534" s="50"/>
      <c r="B534" s="50"/>
      <c r="C534" s="65"/>
      <c r="D534" s="69" t="s">
        <v>7</v>
      </c>
      <c r="E534" s="66" t="s">
        <v>549</v>
      </c>
      <c r="F534" s="215">
        <f>15-14</f>
        <v>1</v>
      </c>
      <c r="G534" s="215">
        <f>15-14</f>
        <v>1</v>
      </c>
      <c r="H534" s="62">
        <f t="shared" si="49"/>
        <v>100</v>
      </c>
    </row>
    <row r="535" spans="1:8" ht="63.75">
      <c r="A535" s="50"/>
      <c r="B535" s="50"/>
      <c r="C535" s="74" t="s">
        <v>178</v>
      </c>
      <c r="D535" s="65"/>
      <c r="E535" s="66" t="s">
        <v>74</v>
      </c>
      <c r="F535" s="215">
        <f>F536</f>
        <v>41.099999999999994</v>
      </c>
      <c r="G535" s="215">
        <f>G536</f>
        <v>41.099999999999994</v>
      </c>
      <c r="H535" s="62">
        <f t="shared" si="49"/>
        <v>100</v>
      </c>
    </row>
    <row r="536" spans="1:8" ht="92.25" customHeight="1">
      <c r="A536" s="50"/>
      <c r="B536" s="50"/>
      <c r="C536" s="74" t="s">
        <v>565</v>
      </c>
      <c r="D536" s="65"/>
      <c r="E536" s="66" t="s">
        <v>566</v>
      </c>
      <c r="F536" s="215">
        <f>F537</f>
        <v>41.099999999999994</v>
      </c>
      <c r="G536" s="215">
        <f>G537</f>
        <v>41.099999999999994</v>
      </c>
      <c r="H536" s="62">
        <f t="shared" si="49"/>
        <v>100</v>
      </c>
    </row>
    <row r="537" spans="1:8" ht="78.75" customHeight="1">
      <c r="A537" s="50"/>
      <c r="B537" s="50"/>
      <c r="C537" s="74"/>
      <c r="D537" s="65" t="s">
        <v>4</v>
      </c>
      <c r="E537" s="66" t="s">
        <v>114</v>
      </c>
      <c r="F537" s="215">
        <f>54.8-13.7</f>
        <v>41.099999999999994</v>
      </c>
      <c r="G537" s="215">
        <f>54.8-13.7</f>
        <v>41.099999999999994</v>
      </c>
      <c r="H537" s="62">
        <f t="shared" si="49"/>
        <v>100</v>
      </c>
    </row>
    <row r="538" spans="1:8" ht="15">
      <c r="A538" s="50"/>
      <c r="B538" s="65" t="s">
        <v>176</v>
      </c>
      <c r="C538" s="65"/>
      <c r="D538" s="65"/>
      <c r="E538" s="66" t="s">
        <v>177</v>
      </c>
      <c r="F538" s="215">
        <f aca="true" t="shared" si="50" ref="F538:G540">F539</f>
        <v>4.7</v>
      </c>
      <c r="G538" s="215">
        <f t="shared" si="50"/>
        <v>4.7</v>
      </c>
      <c r="H538" s="62">
        <f t="shared" si="49"/>
        <v>100</v>
      </c>
    </row>
    <row r="539" spans="1:8" ht="41.25" customHeight="1">
      <c r="A539" s="50"/>
      <c r="B539" s="50"/>
      <c r="C539" s="74" t="s">
        <v>178</v>
      </c>
      <c r="D539" s="65"/>
      <c r="E539" s="66" t="s">
        <v>74</v>
      </c>
      <c r="F539" s="215">
        <f t="shared" si="50"/>
        <v>4.7</v>
      </c>
      <c r="G539" s="215">
        <f t="shared" si="50"/>
        <v>4.7</v>
      </c>
      <c r="H539" s="62">
        <f t="shared" si="49"/>
        <v>100</v>
      </c>
    </row>
    <row r="540" spans="1:8" ht="66" customHeight="1">
      <c r="A540" s="50"/>
      <c r="B540" s="50"/>
      <c r="C540" s="65" t="s">
        <v>179</v>
      </c>
      <c r="D540" s="65"/>
      <c r="E540" s="66" t="s">
        <v>673</v>
      </c>
      <c r="F540" s="215">
        <f t="shared" si="50"/>
        <v>4.7</v>
      </c>
      <c r="G540" s="215">
        <f t="shared" si="50"/>
        <v>4.7</v>
      </c>
      <c r="H540" s="62">
        <f t="shared" si="49"/>
        <v>100</v>
      </c>
    </row>
    <row r="541" spans="1:8" ht="39.75" customHeight="1">
      <c r="A541" s="50"/>
      <c r="B541" s="50"/>
      <c r="C541" s="65"/>
      <c r="D541" s="69" t="s">
        <v>7</v>
      </c>
      <c r="E541" s="66" t="s">
        <v>549</v>
      </c>
      <c r="F541" s="215">
        <v>4.7</v>
      </c>
      <c r="G541" s="215">
        <v>4.7</v>
      </c>
      <c r="H541" s="62">
        <f t="shared" si="49"/>
        <v>100</v>
      </c>
    </row>
    <row r="542" spans="1:8" ht="13.5" customHeight="1">
      <c r="A542" s="50"/>
      <c r="B542" s="65" t="s">
        <v>22</v>
      </c>
      <c r="C542" s="50"/>
      <c r="D542" s="65"/>
      <c r="E542" s="72" t="s">
        <v>23</v>
      </c>
      <c r="F542" s="215">
        <f>F543+F559+F573+F566</f>
        <v>4586.499999999999</v>
      </c>
      <c r="G542" s="215">
        <f>G543+G559+G573+G566</f>
        <v>4586.499999999999</v>
      </c>
      <c r="H542" s="62">
        <f t="shared" si="49"/>
        <v>100</v>
      </c>
    </row>
    <row r="543" spans="1:8" ht="54" customHeight="1">
      <c r="A543" s="50"/>
      <c r="B543" s="65"/>
      <c r="C543" s="65" t="s">
        <v>180</v>
      </c>
      <c r="D543" s="49"/>
      <c r="E543" s="68" t="s">
        <v>80</v>
      </c>
      <c r="F543" s="215">
        <f>F544+F548+F553</f>
        <v>3108.2</v>
      </c>
      <c r="G543" s="215">
        <f>G544+G548+G553</f>
        <v>3108.2</v>
      </c>
      <c r="H543" s="62">
        <f t="shared" si="49"/>
        <v>100</v>
      </c>
    </row>
    <row r="544" spans="1:8" ht="39.75" customHeight="1">
      <c r="A544" s="50"/>
      <c r="B544" s="65"/>
      <c r="C544" s="65" t="s">
        <v>181</v>
      </c>
      <c r="D544" s="50"/>
      <c r="E544" s="66" t="s">
        <v>182</v>
      </c>
      <c r="F544" s="215">
        <f aca="true" t="shared" si="51" ref="F544:G546">F545</f>
        <v>152.9</v>
      </c>
      <c r="G544" s="215">
        <f t="shared" si="51"/>
        <v>152.9</v>
      </c>
      <c r="H544" s="62">
        <f t="shared" si="49"/>
        <v>100</v>
      </c>
    </row>
    <row r="545" spans="1:8" ht="38.25">
      <c r="A545" s="50"/>
      <c r="B545" s="65"/>
      <c r="C545" s="65" t="s">
        <v>183</v>
      </c>
      <c r="D545" s="50"/>
      <c r="E545" s="66" t="s">
        <v>184</v>
      </c>
      <c r="F545" s="215">
        <f t="shared" si="51"/>
        <v>152.9</v>
      </c>
      <c r="G545" s="215">
        <f t="shared" si="51"/>
        <v>152.9</v>
      </c>
      <c r="H545" s="62">
        <f t="shared" si="49"/>
        <v>100</v>
      </c>
    </row>
    <row r="546" spans="1:8" ht="42" customHeight="1">
      <c r="A546" s="50"/>
      <c r="B546" s="65"/>
      <c r="C546" s="65" t="s">
        <v>185</v>
      </c>
      <c r="D546" s="50"/>
      <c r="E546" s="66" t="s">
        <v>186</v>
      </c>
      <c r="F546" s="215">
        <f t="shared" si="51"/>
        <v>152.9</v>
      </c>
      <c r="G546" s="215">
        <f t="shared" si="51"/>
        <v>152.9</v>
      </c>
      <c r="H546" s="62">
        <f t="shared" si="49"/>
        <v>100</v>
      </c>
    </row>
    <row r="547" spans="1:8" ht="39" customHeight="1">
      <c r="A547" s="50"/>
      <c r="B547" s="65"/>
      <c r="C547" s="65"/>
      <c r="D547" s="69" t="s">
        <v>7</v>
      </c>
      <c r="E547" s="66" t="s">
        <v>549</v>
      </c>
      <c r="F547" s="215">
        <f>237-84.1</f>
        <v>152.9</v>
      </c>
      <c r="G547" s="215">
        <f>237-84.1</f>
        <v>152.9</v>
      </c>
      <c r="H547" s="62">
        <f t="shared" si="49"/>
        <v>100</v>
      </c>
    </row>
    <row r="548" spans="1:8" ht="38.25">
      <c r="A548" s="50"/>
      <c r="B548" s="65"/>
      <c r="C548" s="65" t="s">
        <v>187</v>
      </c>
      <c r="D548" s="65"/>
      <c r="E548" s="66" t="s">
        <v>188</v>
      </c>
      <c r="F548" s="215">
        <f>F549</f>
        <v>20.500000000000007</v>
      </c>
      <c r="G548" s="215">
        <f>G549</f>
        <v>20.500000000000007</v>
      </c>
      <c r="H548" s="62">
        <f t="shared" si="49"/>
        <v>100</v>
      </c>
    </row>
    <row r="549" spans="1:8" ht="30" customHeight="1">
      <c r="A549" s="50"/>
      <c r="B549" s="65"/>
      <c r="C549" s="65" t="s">
        <v>192</v>
      </c>
      <c r="D549" s="69"/>
      <c r="E549" s="66" t="s">
        <v>193</v>
      </c>
      <c r="F549" s="215">
        <f>F550</f>
        <v>20.500000000000007</v>
      </c>
      <c r="G549" s="215">
        <f>G550</f>
        <v>20.500000000000007</v>
      </c>
      <c r="H549" s="62">
        <f t="shared" si="49"/>
        <v>100</v>
      </c>
    </row>
    <row r="550" spans="1:8" ht="41.25" customHeight="1">
      <c r="A550" s="50"/>
      <c r="B550" s="65"/>
      <c r="C550" s="65" t="s">
        <v>194</v>
      </c>
      <c r="D550" s="76"/>
      <c r="E550" s="66" t="s">
        <v>195</v>
      </c>
      <c r="F550" s="215">
        <f>F551+F552</f>
        <v>20.500000000000007</v>
      </c>
      <c r="G550" s="215">
        <f>G551+G552</f>
        <v>20.500000000000007</v>
      </c>
      <c r="H550" s="62">
        <f t="shared" si="49"/>
        <v>100</v>
      </c>
    </row>
    <row r="551" spans="1:8" ht="37.5" customHeight="1">
      <c r="A551" s="50"/>
      <c r="B551" s="65"/>
      <c r="C551" s="50"/>
      <c r="D551" s="69" t="s">
        <v>7</v>
      </c>
      <c r="E551" s="66" t="s">
        <v>549</v>
      </c>
      <c r="F551" s="215">
        <f>93.2-66.1-16</f>
        <v>11.100000000000009</v>
      </c>
      <c r="G551" s="215">
        <f>93.2-66.1-16</f>
        <v>11.100000000000009</v>
      </c>
      <c r="H551" s="62">
        <f t="shared" si="49"/>
        <v>100</v>
      </c>
    </row>
    <row r="552" spans="1:8" ht="15">
      <c r="A552" s="50"/>
      <c r="B552" s="65"/>
      <c r="C552" s="50"/>
      <c r="D552" s="65" t="s">
        <v>8</v>
      </c>
      <c r="E552" s="66" t="s">
        <v>9</v>
      </c>
      <c r="F552" s="215">
        <f>12.5-3.1</f>
        <v>9.4</v>
      </c>
      <c r="G552" s="215">
        <f>12.5-3.1</f>
        <v>9.4</v>
      </c>
      <c r="H552" s="62">
        <f t="shared" si="49"/>
        <v>100</v>
      </c>
    </row>
    <row r="553" spans="1:8" ht="25.5" customHeight="1">
      <c r="A553" s="86"/>
      <c r="B553" s="84"/>
      <c r="C553" s="85" t="s">
        <v>196</v>
      </c>
      <c r="D553" s="86"/>
      <c r="E553" s="87" t="s">
        <v>197</v>
      </c>
      <c r="F553" s="217">
        <f>F554</f>
        <v>2934.7999999999997</v>
      </c>
      <c r="G553" s="217">
        <f>G554</f>
        <v>2934.7999999999997</v>
      </c>
      <c r="H553" s="62">
        <f t="shared" si="49"/>
        <v>100</v>
      </c>
    </row>
    <row r="554" spans="1:8" ht="28.5" customHeight="1">
      <c r="A554" s="50"/>
      <c r="B554" s="65"/>
      <c r="C554" s="65" t="s">
        <v>198</v>
      </c>
      <c r="D554" s="50"/>
      <c r="E554" s="66" t="s">
        <v>199</v>
      </c>
      <c r="F554" s="215">
        <f>F555</f>
        <v>2934.7999999999997</v>
      </c>
      <c r="G554" s="215">
        <f>G555</f>
        <v>2934.7999999999997</v>
      </c>
      <c r="H554" s="62">
        <f t="shared" si="49"/>
        <v>100</v>
      </c>
    </row>
    <row r="555" spans="1:8" ht="51">
      <c r="A555" s="50"/>
      <c r="B555" s="65"/>
      <c r="C555" s="65" t="s">
        <v>200</v>
      </c>
      <c r="D555" s="50"/>
      <c r="E555" s="66" t="s">
        <v>201</v>
      </c>
      <c r="F555" s="215">
        <f>F556+F557+F558</f>
        <v>2934.7999999999997</v>
      </c>
      <c r="G555" s="215">
        <f>G556+G557+G558</f>
        <v>2934.7999999999997</v>
      </c>
      <c r="H555" s="62">
        <f t="shared" si="49"/>
        <v>100</v>
      </c>
    </row>
    <row r="556" spans="1:8" ht="79.5" customHeight="1">
      <c r="A556" s="50"/>
      <c r="B556" s="65"/>
      <c r="C556" s="50"/>
      <c r="D556" s="76" t="s">
        <v>4</v>
      </c>
      <c r="E556" s="66" t="s">
        <v>114</v>
      </c>
      <c r="F556" s="215">
        <f>4355.9+14-29.9-1610.4</f>
        <v>2729.6</v>
      </c>
      <c r="G556" s="215">
        <f>4355.9+14-29.9-1610.4</f>
        <v>2729.6</v>
      </c>
      <c r="H556" s="62">
        <f t="shared" si="49"/>
        <v>100</v>
      </c>
    </row>
    <row r="557" spans="1:8" ht="39" customHeight="1">
      <c r="A557" s="50"/>
      <c r="B557" s="65"/>
      <c r="C557" s="50"/>
      <c r="D557" s="69" t="s">
        <v>7</v>
      </c>
      <c r="E557" s="66" t="s">
        <v>549</v>
      </c>
      <c r="F557" s="215">
        <f>443.6-112.5-129.1</f>
        <v>202.00000000000003</v>
      </c>
      <c r="G557" s="215">
        <f>443.6-112.5-129.1</f>
        <v>202.00000000000003</v>
      </c>
      <c r="H557" s="62">
        <f t="shared" si="49"/>
        <v>100</v>
      </c>
    </row>
    <row r="558" spans="1:8" ht="15.75" customHeight="1">
      <c r="A558" s="50"/>
      <c r="B558" s="65"/>
      <c r="C558" s="50"/>
      <c r="D558" s="65" t="s">
        <v>8</v>
      </c>
      <c r="E558" s="66" t="s">
        <v>9</v>
      </c>
      <c r="F558" s="215">
        <f>4.3-1.1</f>
        <v>3.1999999999999997</v>
      </c>
      <c r="G558" s="215">
        <f>4.3-1.1</f>
        <v>3.1999999999999997</v>
      </c>
      <c r="H558" s="62">
        <f t="shared" si="49"/>
        <v>100</v>
      </c>
    </row>
    <row r="559" spans="1:8" ht="51">
      <c r="A559" s="50"/>
      <c r="B559" s="50"/>
      <c r="C559" s="65" t="s">
        <v>169</v>
      </c>
      <c r="D559" s="49"/>
      <c r="E559" s="68" t="s">
        <v>68</v>
      </c>
      <c r="F559" s="215">
        <f>F560</f>
        <v>899.1</v>
      </c>
      <c r="G559" s="215">
        <f>G560</f>
        <v>899.1</v>
      </c>
      <c r="H559" s="62">
        <f t="shared" si="49"/>
        <v>100</v>
      </c>
    </row>
    <row r="560" spans="1:8" ht="43.5" customHeight="1">
      <c r="A560" s="50"/>
      <c r="B560" s="50"/>
      <c r="C560" s="65" t="s">
        <v>203</v>
      </c>
      <c r="D560" s="50"/>
      <c r="E560" s="66" t="s">
        <v>700</v>
      </c>
      <c r="F560" s="215">
        <f>F561</f>
        <v>899.1</v>
      </c>
      <c r="G560" s="215">
        <f>G561</f>
        <v>899.1</v>
      </c>
      <c r="H560" s="62">
        <f t="shared" si="49"/>
        <v>100</v>
      </c>
    </row>
    <row r="561" spans="1:8" ht="114.75">
      <c r="A561" s="50"/>
      <c r="B561" s="50"/>
      <c r="C561" s="65" t="s">
        <v>204</v>
      </c>
      <c r="D561" s="65"/>
      <c r="E561" s="66" t="s">
        <v>701</v>
      </c>
      <c r="F561" s="215">
        <f>F562+F564</f>
        <v>899.1</v>
      </c>
      <c r="G561" s="215">
        <f>G562+G564</f>
        <v>899.1</v>
      </c>
      <c r="H561" s="62">
        <f t="shared" si="49"/>
        <v>100</v>
      </c>
    </row>
    <row r="562" spans="1:8" ht="63.75">
      <c r="A562" s="50"/>
      <c r="B562" s="50"/>
      <c r="C562" s="65" t="s">
        <v>205</v>
      </c>
      <c r="D562" s="65"/>
      <c r="E562" s="66" t="s">
        <v>70</v>
      </c>
      <c r="F562" s="215">
        <f>F563</f>
        <v>849.1</v>
      </c>
      <c r="G562" s="215">
        <f>G563</f>
        <v>849.1</v>
      </c>
      <c r="H562" s="62">
        <f t="shared" si="49"/>
        <v>100</v>
      </c>
    </row>
    <row r="563" spans="1:8" ht="39.75" customHeight="1">
      <c r="A563" s="50"/>
      <c r="B563" s="50"/>
      <c r="C563" s="65"/>
      <c r="D563" s="69" t="s">
        <v>7</v>
      </c>
      <c r="E563" s="66" t="s">
        <v>549</v>
      </c>
      <c r="F563" s="215">
        <f>1000-57.9-64.3-28.7</f>
        <v>849.1</v>
      </c>
      <c r="G563" s="215">
        <f>1000-57.9-64.3-28.7</f>
        <v>849.1</v>
      </c>
      <c r="H563" s="62">
        <f t="shared" si="49"/>
        <v>100</v>
      </c>
    </row>
    <row r="564" spans="1:8" ht="15">
      <c r="A564" s="50"/>
      <c r="B564" s="50"/>
      <c r="C564" s="65" t="s">
        <v>206</v>
      </c>
      <c r="D564" s="65"/>
      <c r="E564" s="66" t="s">
        <v>702</v>
      </c>
      <c r="F564" s="215">
        <f>F565</f>
        <v>50</v>
      </c>
      <c r="G564" s="215">
        <f>G565</f>
        <v>50</v>
      </c>
      <c r="H564" s="62">
        <f t="shared" si="49"/>
        <v>100</v>
      </c>
    </row>
    <row r="565" spans="1:8" ht="17.25" customHeight="1">
      <c r="A565" s="50"/>
      <c r="B565" s="50"/>
      <c r="C565" s="65"/>
      <c r="D565" s="69" t="s">
        <v>8</v>
      </c>
      <c r="E565" s="73" t="s">
        <v>9</v>
      </c>
      <c r="F565" s="215">
        <f>117-67</f>
        <v>50</v>
      </c>
      <c r="G565" s="215">
        <f>117-67</f>
        <v>50</v>
      </c>
      <c r="H565" s="62">
        <f t="shared" si="49"/>
        <v>100</v>
      </c>
    </row>
    <row r="566" spans="1:8" ht="54" customHeight="1">
      <c r="A566" s="50"/>
      <c r="B566" s="50"/>
      <c r="C566" s="65" t="s">
        <v>208</v>
      </c>
      <c r="D566" s="49"/>
      <c r="E566" s="68" t="s">
        <v>24</v>
      </c>
      <c r="F566" s="215">
        <f>F568+F569+F571</f>
        <v>66.4</v>
      </c>
      <c r="G566" s="215">
        <f>G568+G569+G571</f>
        <v>66.4</v>
      </c>
      <c r="H566" s="62">
        <f t="shared" si="49"/>
        <v>100</v>
      </c>
    </row>
    <row r="567" spans="1:8" ht="27.75" customHeight="1">
      <c r="A567" s="50"/>
      <c r="B567" s="50"/>
      <c r="C567" s="65" t="s">
        <v>567</v>
      </c>
      <c r="D567" s="50"/>
      <c r="E567" s="68" t="s">
        <v>568</v>
      </c>
      <c r="F567" s="215">
        <f>F568</f>
        <v>6.400000000000002</v>
      </c>
      <c r="G567" s="215">
        <f>G568</f>
        <v>6.400000000000002</v>
      </c>
      <c r="H567" s="62">
        <f t="shared" si="49"/>
        <v>100</v>
      </c>
    </row>
    <row r="568" spans="1:8" ht="39.75" customHeight="1">
      <c r="A568" s="50"/>
      <c r="B568" s="50"/>
      <c r="C568" s="50"/>
      <c r="D568" s="69" t="s">
        <v>7</v>
      </c>
      <c r="E568" s="66" t="s">
        <v>549</v>
      </c>
      <c r="F568" s="215">
        <f>26.1-19.7</f>
        <v>6.400000000000002</v>
      </c>
      <c r="G568" s="215">
        <f>26.1-19.7</f>
        <v>6.400000000000002</v>
      </c>
      <c r="H568" s="62">
        <f t="shared" si="49"/>
        <v>100</v>
      </c>
    </row>
    <row r="569" spans="1:8" ht="25.5">
      <c r="A569" s="50"/>
      <c r="B569" s="50"/>
      <c r="C569" s="91" t="s">
        <v>703</v>
      </c>
      <c r="D569" s="70"/>
      <c r="E569" s="73" t="s">
        <v>704</v>
      </c>
      <c r="F569" s="215">
        <f>F570</f>
        <v>10</v>
      </c>
      <c r="G569" s="215">
        <f>G570</f>
        <v>10</v>
      </c>
      <c r="H569" s="62">
        <f aca="true" t="shared" si="52" ref="H569:H632">G569/F569*100</f>
        <v>100</v>
      </c>
    </row>
    <row r="570" spans="1:8" ht="25.5">
      <c r="A570" s="50"/>
      <c r="B570" s="50"/>
      <c r="C570" s="91"/>
      <c r="D570" s="70" t="s">
        <v>14</v>
      </c>
      <c r="E570" s="73" t="s">
        <v>15</v>
      </c>
      <c r="F570" s="215">
        <v>10</v>
      </c>
      <c r="G570" s="215">
        <v>10</v>
      </c>
      <c r="H570" s="62">
        <f t="shared" si="52"/>
        <v>100</v>
      </c>
    </row>
    <row r="571" spans="1:8" ht="38.25">
      <c r="A571" s="50"/>
      <c r="B571" s="50"/>
      <c r="C571" s="75" t="s">
        <v>345</v>
      </c>
      <c r="D571" s="75"/>
      <c r="E571" s="68" t="s">
        <v>346</v>
      </c>
      <c r="F571" s="215">
        <f>F572</f>
        <v>50</v>
      </c>
      <c r="G571" s="215">
        <f>G572</f>
        <v>50</v>
      </c>
      <c r="H571" s="62">
        <f t="shared" si="52"/>
        <v>100</v>
      </c>
    </row>
    <row r="572" spans="1:8" ht="25.5">
      <c r="A572" s="50"/>
      <c r="B572" s="50"/>
      <c r="C572" s="75"/>
      <c r="D572" s="70" t="s">
        <v>14</v>
      </c>
      <c r="E572" s="73" t="s">
        <v>15</v>
      </c>
      <c r="F572" s="215">
        <f>40+10</f>
        <v>50</v>
      </c>
      <c r="G572" s="215">
        <f>40+10</f>
        <v>50</v>
      </c>
      <c r="H572" s="62">
        <f t="shared" si="52"/>
        <v>100</v>
      </c>
    </row>
    <row r="573" spans="1:8" ht="29.25" customHeight="1">
      <c r="A573" s="50"/>
      <c r="B573" s="50"/>
      <c r="C573" s="74" t="s">
        <v>178</v>
      </c>
      <c r="D573" s="65"/>
      <c r="E573" s="66" t="s">
        <v>74</v>
      </c>
      <c r="F573" s="215">
        <f>F574+F577</f>
        <v>512.8</v>
      </c>
      <c r="G573" s="215">
        <f>G574+G577</f>
        <v>512.8</v>
      </c>
      <c r="H573" s="62">
        <f t="shared" si="52"/>
        <v>100</v>
      </c>
    </row>
    <row r="574" spans="1:8" ht="25.5">
      <c r="A574" s="50"/>
      <c r="B574" s="50"/>
      <c r="C574" s="74" t="s">
        <v>207</v>
      </c>
      <c r="D574" s="76"/>
      <c r="E574" s="73" t="s">
        <v>120</v>
      </c>
      <c r="F574" s="215">
        <f>F575+F576</f>
        <v>506.99999999999994</v>
      </c>
      <c r="G574" s="215">
        <f>G575+G576</f>
        <v>506.99999999999994</v>
      </c>
      <c r="H574" s="62">
        <f t="shared" si="52"/>
        <v>100</v>
      </c>
    </row>
    <row r="575" spans="1:8" ht="75.75" customHeight="1">
      <c r="A575" s="50"/>
      <c r="B575" s="50"/>
      <c r="C575" s="74"/>
      <c r="D575" s="65" t="s">
        <v>4</v>
      </c>
      <c r="E575" s="66" t="s">
        <v>114</v>
      </c>
      <c r="F575" s="215">
        <f>680.2+79.8+4.8-266.6-4.8</f>
        <v>493.3999999999999</v>
      </c>
      <c r="G575" s="215">
        <f>680.2+79.8+4.8-266.6-4.8</f>
        <v>493.3999999999999</v>
      </c>
      <c r="H575" s="62">
        <f t="shared" si="52"/>
        <v>100</v>
      </c>
    </row>
    <row r="576" spans="1:8" ht="40.5" customHeight="1">
      <c r="A576" s="50"/>
      <c r="B576" s="50"/>
      <c r="C576" s="74"/>
      <c r="D576" s="69" t="s">
        <v>7</v>
      </c>
      <c r="E576" s="66" t="s">
        <v>549</v>
      </c>
      <c r="F576" s="215">
        <f>98.2-79.8-4.8</f>
        <v>13.600000000000005</v>
      </c>
      <c r="G576" s="215">
        <f>98.2-79.8-4.8</f>
        <v>13.600000000000005</v>
      </c>
      <c r="H576" s="62">
        <f t="shared" si="52"/>
        <v>100</v>
      </c>
    </row>
    <row r="577" spans="1:8" ht="56.25" customHeight="1">
      <c r="A577" s="50"/>
      <c r="B577" s="50"/>
      <c r="C577" s="74" t="s">
        <v>569</v>
      </c>
      <c r="D577" s="65"/>
      <c r="E577" s="66" t="s">
        <v>570</v>
      </c>
      <c r="F577" s="215">
        <f>F578</f>
        <v>5.799999999999999</v>
      </c>
      <c r="G577" s="215">
        <f>G578</f>
        <v>5.799999999999999</v>
      </c>
      <c r="H577" s="62">
        <f t="shared" si="52"/>
        <v>100</v>
      </c>
    </row>
    <row r="578" spans="1:8" ht="36.75" customHeight="1">
      <c r="A578" s="50"/>
      <c r="B578" s="50"/>
      <c r="C578" s="74"/>
      <c r="D578" s="69" t="s">
        <v>7</v>
      </c>
      <c r="E578" s="66" t="s">
        <v>549</v>
      </c>
      <c r="F578" s="215">
        <f>21.4-15.6</f>
        <v>5.799999999999999</v>
      </c>
      <c r="G578" s="215">
        <f>21.4-15.6</f>
        <v>5.799999999999999</v>
      </c>
      <c r="H578" s="62">
        <f t="shared" si="52"/>
        <v>100</v>
      </c>
    </row>
    <row r="579" spans="1:8" ht="15">
      <c r="A579" s="50"/>
      <c r="B579" s="65" t="s">
        <v>27</v>
      </c>
      <c r="C579" s="50"/>
      <c r="D579" s="50"/>
      <c r="E579" s="66" t="s">
        <v>72</v>
      </c>
      <c r="F579" s="215">
        <f>F580+F590+F599+F625</f>
        <v>92479.327</v>
      </c>
      <c r="G579" s="215">
        <f>G580+G590+G599+G625</f>
        <v>92479.327</v>
      </c>
      <c r="H579" s="62">
        <f t="shared" si="52"/>
        <v>100</v>
      </c>
    </row>
    <row r="580" spans="1:8" ht="14.25" customHeight="1">
      <c r="A580" s="50"/>
      <c r="B580" s="65" t="s">
        <v>28</v>
      </c>
      <c r="C580" s="50"/>
      <c r="D580" s="50"/>
      <c r="E580" s="72" t="s">
        <v>29</v>
      </c>
      <c r="F580" s="215">
        <f aca="true" t="shared" si="53" ref="F580:G582">F581</f>
        <v>1003.9</v>
      </c>
      <c r="G580" s="215">
        <f t="shared" si="53"/>
        <v>1003.9</v>
      </c>
      <c r="H580" s="62">
        <f t="shared" si="52"/>
        <v>100</v>
      </c>
    </row>
    <row r="581" spans="1:8" ht="51">
      <c r="A581" s="50"/>
      <c r="B581" s="65"/>
      <c r="C581" s="65" t="s">
        <v>269</v>
      </c>
      <c r="D581" s="65"/>
      <c r="E581" s="66" t="s">
        <v>575</v>
      </c>
      <c r="F581" s="218">
        <f t="shared" si="53"/>
        <v>1003.9</v>
      </c>
      <c r="G581" s="218">
        <f t="shared" si="53"/>
        <v>1003.9</v>
      </c>
      <c r="H581" s="62">
        <f t="shared" si="52"/>
        <v>100</v>
      </c>
    </row>
    <row r="582" spans="1:8" ht="27.75" customHeight="1">
      <c r="A582" s="50"/>
      <c r="B582" s="65"/>
      <c r="C582" s="65" t="s">
        <v>273</v>
      </c>
      <c r="D582" s="65"/>
      <c r="E582" s="66" t="s">
        <v>576</v>
      </c>
      <c r="F582" s="218">
        <f t="shared" si="53"/>
        <v>1003.9</v>
      </c>
      <c r="G582" s="218">
        <f t="shared" si="53"/>
        <v>1003.9</v>
      </c>
      <c r="H582" s="62">
        <f t="shared" si="52"/>
        <v>100</v>
      </c>
    </row>
    <row r="583" spans="1:8" ht="51">
      <c r="A583" s="50"/>
      <c r="B583" s="65"/>
      <c r="C583" s="65" t="s">
        <v>274</v>
      </c>
      <c r="D583" s="65"/>
      <c r="E583" s="66" t="s">
        <v>209</v>
      </c>
      <c r="F583" s="218">
        <f>F584+F586+F588</f>
        <v>1003.9</v>
      </c>
      <c r="G583" s="218">
        <f>G584+G586+G588</f>
        <v>1003.9</v>
      </c>
      <c r="H583" s="62">
        <f t="shared" si="52"/>
        <v>100</v>
      </c>
    </row>
    <row r="584" spans="1:8" ht="76.5">
      <c r="A584" s="50"/>
      <c r="B584" s="65"/>
      <c r="C584" s="65" t="s">
        <v>577</v>
      </c>
      <c r="D584" s="65"/>
      <c r="E584" s="66" t="s">
        <v>578</v>
      </c>
      <c r="F584" s="218">
        <f>F585</f>
        <v>1000</v>
      </c>
      <c r="G584" s="218">
        <f>G585</f>
        <v>1000</v>
      </c>
      <c r="H584" s="62">
        <f t="shared" si="52"/>
        <v>100</v>
      </c>
    </row>
    <row r="585" spans="1:8" ht="15">
      <c r="A585" s="50"/>
      <c r="B585" s="65"/>
      <c r="C585" s="65"/>
      <c r="D585" s="74">
        <v>800</v>
      </c>
      <c r="E585" s="73" t="s">
        <v>9</v>
      </c>
      <c r="F585" s="215">
        <f>1750-750</f>
        <v>1000</v>
      </c>
      <c r="G585" s="215">
        <f>1750-750</f>
        <v>1000</v>
      </c>
      <c r="H585" s="62">
        <f t="shared" si="52"/>
        <v>100</v>
      </c>
    </row>
    <row r="586" spans="1:8" ht="63" customHeight="1">
      <c r="A586" s="50"/>
      <c r="B586" s="65"/>
      <c r="C586" s="65" t="s">
        <v>579</v>
      </c>
      <c r="D586" s="65"/>
      <c r="E586" s="66" t="s">
        <v>580</v>
      </c>
      <c r="F586" s="218">
        <f>F587</f>
        <v>0.3999999999999999</v>
      </c>
      <c r="G586" s="218">
        <f>G587</f>
        <v>0.3999999999999999</v>
      </c>
      <c r="H586" s="62">
        <f t="shared" si="52"/>
        <v>100</v>
      </c>
    </row>
    <row r="587" spans="1:8" ht="15">
      <c r="A587" s="50"/>
      <c r="B587" s="65"/>
      <c r="C587" s="50"/>
      <c r="D587" s="65" t="s">
        <v>8</v>
      </c>
      <c r="E587" s="66" t="s">
        <v>9</v>
      </c>
      <c r="F587" s="218">
        <f>2.3-1.9</f>
        <v>0.3999999999999999</v>
      </c>
      <c r="G587" s="218">
        <f>2.3-1.9</f>
        <v>0.3999999999999999</v>
      </c>
      <c r="H587" s="62">
        <f t="shared" si="52"/>
        <v>100</v>
      </c>
    </row>
    <row r="588" spans="1:8" ht="42" customHeight="1">
      <c r="A588" s="50"/>
      <c r="B588" s="65"/>
      <c r="C588" s="65" t="s">
        <v>581</v>
      </c>
      <c r="D588" s="65"/>
      <c r="E588" s="66" t="s">
        <v>582</v>
      </c>
      <c r="F588" s="218">
        <f>F589</f>
        <v>3.5</v>
      </c>
      <c r="G588" s="218">
        <f>G589</f>
        <v>3.5</v>
      </c>
      <c r="H588" s="62">
        <f t="shared" si="52"/>
        <v>100</v>
      </c>
    </row>
    <row r="589" spans="1:8" ht="15">
      <c r="A589" s="50"/>
      <c r="B589" s="65"/>
      <c r="C589" s="50"/>
      <c r="D589" s="65" t="s">
        <v>8</v>
      </c>
      <c r="E589" s="66" t="s">
        <v>9</v>
      </c>
      <c r="F589" s="215">
        <f>137.4-133.9</f>
        <v>3.5</v>
      </c>
      <c r="G589" s="215">
        <f>137.4-133.9</f>
        <v>3.5</v>
      </c>
      <c r="H589" s="62">
        <f t="shared" si="52"/>
        <v>100</v>
      </c>
    </row>
    <row r="590" spans="1:8" ht="13.5" customHeight="1">
      <c r="A590" s="50"/>
      <c r="B590" s="65" t="s">
        <v>30</v>
      </c>
      <c r="C590" s="50"/>
      <c r="D590" s="65"/>
      <c r="E590" s="72" t="s">
        <v>31</v>
      </c>
      <c r="F590" s="215">
        <f>F591+F596</f>
        <v>455</v>
      </c>
      <c r="G590" s="215">
        <f>G591+G596</f>
        <v>455</v>
      </c>
      <c r="H590" s="62">
        <f t="shared" si="52"/>
        <v>100</v>
      </c>
    </row>
    <row r="591" spans="1:8" ht="51">
      <c r="A591" s="50"/>
      <c r="B591" s="50"/>
      <c r="C591" s="65" t="s">
        <v>269</v>
      </c>
      <c r="D591" s="65"/>
      <c r="E591" s="66" t="s">
        <v>575</v>
      </c>
      <c r="F591" s="215">
        <f aca="true" t="shared" si="54" ref="F591:G594">F592</f>
        <v>405</v>
      </c>
      <c r="G591" s="215">
        <f t="shared" si="54"/>
        <v>405</v>
      </c>
      <c r="H591" s="62">
        <f t="shared" si="52"/>
        <v>100</v>
      </c>
    </row>
    <row r="592" spans="1:8" ht="42.75" customHeight="1">
      <c r="A592" s="50"/>
      <c r="B592" s="50"/>
      <c r="C592" s="65" t="s">
        <v>583</v>
      </c>
      <c r="D592" s="50"/>
      <c r="E592" s="66" t="s">
        <v>584</v>
      </c>
      <c r="F592" s="215">
        <f t="shared" si="54"/>
        <v>405</v>
      </c>
      <c r="G592" s="215">
        <f t="shared" si="54"/>
        <v>405</v>
      </c>
      <c r="H592" s="62">
        <f t="shared" si="52"/>
        <v>100</v>
      </c>
    </row>
    <row r="593" spans="1:8" ht="24.75" customHeight="1">
      <c r="A593" s="50"/>
      <c r="B593" s="50"/>
      <c r="C593" s="65" t="s">
        <v>585</v>
      </c>
      <c r="D593" s="76"/>
      <c r="E593" s="73" t="s">
        <v>211</v>
      </c>
      <c r="F593" s="215">
        <f t="shared" si="54"/>
        <v>405</v>
      </c>
      <c r="G593" s="215">
        <f t="shared" si="54"/>
        <v>405</v>
      </c>
      <c r="H593" s="62">
        <f t="shared" si="52"/>
        <v>100</v>
      </c>
    </row>
    <row r="594" spans="1:8" ht="42.75" customHeight="1">
      <c r="A594" s="50"/>
      <c r="B594" s="50"/>
      <c r="C594" s="65" t="s">
        <v>586</v>
      </c>
      <c r="D594" s="65"/>
      <c r="E594" s="66" t="s">
        <v>212</v>
      </c>
      <c r="F594" s="215">
        <f t="shared" si="54"/>
        <v>405</v>
      </c>
      <c r="G594" s="215">
        <f t="shared" si="54"/>
        <v>405</v>
      </c>
      <c r="H594" s="62">
        <f t="shared" si="52"/>
        <v>100</v>
      </c>
    </row>
    <row r="595" spans="1:8" ht="17.25" customHeight="1">
      <c r="A595" s="50"/>
      <c r="B595" s="50"/>
      <c r="C595" s="65"/>
      <c r="D595" s="65" t="s">
        <v>8</v>
      </c>
      <c r="E595" s="66" t="s">
        <v>9</v>
      </c>
      <c r="F595" s="215">
        <f>600+450-645</f>
        <v>405</v>
      </c>
      <c r="G595" s="215">
        <f>600+450-645</f>
        <v>405</v>
      </c>
      <c r="H595" s="62">
        <f t="shared" si="52"/>
        <v>100</v>
      </c>
    </row>
    <row r="596" spans="1:8" ht="55.5" customHeight="1">
      <c r="A596" s="50"/>
      <c r="B596" s="50"/>
      <c r="C596" s="65" t="s">
        <v>208</v>
      </c>
      <c r="D596" s="49"/>
      <c r="E596" s="68" t="s">
        <v>24</v>
      </c>
      <c r="F596" s="215">
        <f>F597</f>
        <v>50</v>
      </c>
      <c r="G596" s="215">
        <f>G597</f>
        <v>50</v>
      </c>
      <c r="H596" s="62">
        <f t="shared" si="52"/>
        <v>100</v>
      </c>
    </row>
    <row r="597" spans="1:8" ht="15">
      <c r="A597" s="50"/>
      <c r="B597" s="50"/>
      <c r="C597" s="65" t="s">
        <v>587</v>
      </c>
      <c r="D597" s="65"/>
      <c r="E597" s="66" t="s">
        <v>588</v>
      </c>
      <c r="F597" s="215">
        <f>F598</f>
        <v>50</v>
      </c>
      <c r="G597" s="215">
        <f>G598</f>
        <v>50</v>
      </c>
      <c r="H597" s="62">
        <f t="shared" si="52"/>
        <v>100</v>
      </c>
    </row>
    <row r="598" spans="1:8" ht="40.5" customHeight="1">
      <c r="A598" s="50"/>
      <c r="B598" s="50"/>
      <c r="C598" s="65"/>
      <c r="D598" s="69" t="s">
        <v>7</v>
      </c>
      <c r="E598" s="66" t="s">
        <v>549</v>
      </c>
      <c r="F598" s="215">
        <v>50</v>
      </c>
      <c r="G598" s="215">
        <v>50</v>
      </c>
      <c r="H598" s="62">
        <f t="shared" si="52"/>
        <v>100</v>
      </c>
    </row>
    <row r="599" spans="1:9" ht="15">
      <c r="A599" s="50"/>
      <c r="B599" s="65" t="s">
        <v>32</v>
      </c>
      <c r="C599" s="50"/>
      <c r="D599" s="65"/>
      <c r="E599" s="72" t="s">
        <v>33</v>
      </c>
      <c r="F599" s="215">
        <f>F600+F622</f>
        <v>90500.52700000002</v>
      </c>
      <c r="G599" s="215">
        <f>G600+G622</f>
        <v>90500.52700000002</v>
      </c>
      <c r="H599" s="62">
        <f t="shared" si="52"/>
        <v>100</v>
      </c>
      <c r="I599" s="8"/>
    </row>
    <row r="600" spans="1:8" ht="38.25" customHeight="1">
      <c r="A600" s="50"/>
      <c r="B600" s="50"/>
      <c r="C600" s="65" t="s">
        <v>213</v>
      </c>
      <c r="D600" s="49"/>
      <c r="E600" s="68" t="s">
        <v>214</v>
      </c>
      <c r="F600" s="215">
        <f>F601+F618</f>
        <v>88823.92700000001</v>
      </c>
      <c r="G600" s="215">
        <f>G601+G618</f>
        <v>88823.92700000001</v>
      </c>
      <c r="H600" s="62">
        <f t="shared" si="52"/>
        <v>100</v>
      </c>
    </row>
    <row r="601" spans="1:8" ht="38.25">
      <c r="A601" s="50"/>
      <c r="B601" s="50"/>
      <c r="C601" s="65" t="s">
        <v>215</v>
      </c>
      <c r="D601" s="50"/>
      <c r="E601" s="66" t="s">
        <v>216</v>
      </c>
      <c r="F601" s="215">
        <f>F602+F612</f>
        <v>86440.72700000001</v>
      </c>
      <c r="G601" s="215">
        <f>G602+G612</f>
        <v>86440.72700000001</v>
      </c>
      <c r="H601" s="62">
        <f t="shared" si="52"/>
        <v>100</v>
      </c>
    </row>
    <row r="602" spans="1:8" ht="51">
      <c r="A602" s="50"/>
      <c r="B602" s="50"/>
      <c r="C602" s="65" t="s">
        <v>217</v>
      </c>
      <c r="D602" s="50"/>
      <c r="E602" s="66" t="s">
        <v>218</v>
      </c>
      <c r="F602" s="215">
        <f>F603+F605+F607+F609</f>
        <v>80266.90000000001</v>
      </c>
      <c r="G602" s="215">
        <f>G603+G605+G607+G609</f>
        <v>80266.90000000001</v>
      </c>
      <c r="H602" s="62">
        <f t="shared" si="52"/>
        <v>100</v>
      </c>
    </row>
    <row r="603" spans="1:8" ht="25.5">
      <c r="A603" s="50"/>
      <c r="B603" s="50"/>
      <c r="C603" s="65" t="s">
        <v>219</v>
      </c>
      <c r="D603" s="50"/>
      <c r="E603" s="66" t="s">
        <v>220</v>
      </c>
      <c r="F603" s="215">
        <f>F604</f>
        <v>13301.100000000002</v>
      </c>
      <c r="G603" s="215">
        <f>G604</f>
        <v>13301.100000000002</v>
      </c>
      <c r="H603" s="62">
        <f t="shared" si="52"/>
        <v>100</v>
      </c>
    </row>
    <row r="604" spans="1:8" ht="38.25">
      <c r="A604" s="50"/>
      <c r="B604" s="50"/>
      <c r="C604" s="65"/>
      <c r="D604" s="69" t="s">
        <v>35</v>
      </c>
      <c r="E604" s="73" t="s">
        <v>36</v>
      </c>
      <c r="F604" s="215">
        <f>19143.9+1449.7-7292.5</f>
        <v>13301.100000000002</v>
      </c>
      <c r="G604" s="215">
        <f>19143.9+1449.7-7292.5</f>
        <v>13301.100000000002</v>
      </c>
      <c r="H604" s="62">
        <f t="shared" si="52"/>
        <v>100</v>
      </c>
    </row>
    <row r="605" spans="1:8" ht="76.5">
      <c r="A605" s="50"/>
      <c r="B605" s="50"/>
      <c r="C605" s="75" t="s">
        <v>727</v>
      </c>
      <c r="D605" s="77"/>
      <c r="E605" s="78" t="s">
        <v>728</v>
      </c>
      <c r="F605" s="215">
        <f>F606</f>
        <v>61</v>
      </c>
      <c r="G605" s="215">
        <f>G606</f>
        <v>61</v>
      </c>
      <c r="H605" s="62">
        <f t="shared" si="52"/>
        <v>100</v>
      </c>
    </row>
    <row r="606" spans="1:8" ht="38.25">
      <c r="A606" s="50"/>
      <c r="B606" s="50"/>
      <c r="C606" s="75"/>
      <c r="D606" s="79" t="s">
        <v>35</v>
      </c>
      <c r="E606" s="73" t="s">
        <v>36</v>
      </c>
      <c r="F606" s="215">
        <f>218.9-157.9</f>
        <v>61</v>
      </c>
      <c r="G606" s="215">
        <f>218.9-157.9</f>
        <v>61</v>
      </c>
      <c r="H606" s="62">
        <f t="shared" si="52"/>
        <v>100</v>
      </c>
    </row>
    <row r="607" spans="1:8" ht="25.5">
      <c r="A607" s="50"/>
      <c r="B607" s="50"/>
      <c r="C607" s="75" t="s">
        <v>589</v>
      </c>
      <c r="D607" s="77"/>
      <c r="E607" s="78" t="s">
        <v>590</v>
      </c>
      <c r="F607" s="215">
        <f>F608</f>
        <v>1506.6</v>
      </c>
      <c r="G607" s="215">
        <f>G608</f>
        <v>1506.6</v>
      </c>
      <c r="H607" s="62">
        <f t="shared" si="52"/>
        <v>100</v>
      </c>
    </row>
    <row r="608" spans="1:8" ht="38.25">
      <c r="A608" s="50"/>
      <c r="B608" s="50"/>
      <c r="C608" s="75"/>
      <c r="D608" s="79" t="s">
        <v>35</v>
      </c>
      <c r="E608" s="73" t="s">
        <v>36</v>
      </c>
      <c r="F608" s="215">
        <f>1699.3-192.7</f>
        <v>1506.6</v>
      </c>
      <c r="G608" s="215">
        <f>1699.3-192.7</f>
        <v>1506.6</v>
      </c>
      <c r="H608" s="62">
        <f t="shared" si="52"/>
        <v>100</v>
      </c>
    </row>
    <row r="609" spans="1:8" ht="76.5">
      <c r="A609" s="50"/>
      <c r="B609" s="50"/>
      <c r="C609" s="65" t="s">
        <v>591</v>
      </c>
      <c r="D609" s="50"/>
      <c r="E609" s="66" t="s">
        <v>592</v>
      </c>
      <c r="F609" s="215">
        <f>F610+F611</f>
        <v>65398.20000000001</v>
      </c>
      <c r="G609" s="215">
        <f>G610+G611</f>
        <v>65398.20000000001</v>
      </c>
      <c r="H609" s="62">
        <f t="shared" si="52"/>
        <v>100</v>
      </c>
    </row>
    <row r="610" spans="1:8" ht="15">
      <c r="A610" s="50"/>
      <c r="B610" s="50"/>
      <c r="C610" s="65"/>
      <c r="D610" s="65" t="s">
        <v>78</v>
      </c>
      <c r="E610" s="66" t="s">
        <v>79</v>
      </c>
      <c r="F610" s="215">
        <v>241.9</v>
      </c>
      <c r="G610" s="215">
        <v>241.9</v>
      </c>
      <c r="H610" s="62">
        <f t="shared" si="52"/>
        <v>100</v>
      </c>
    </row>
    <row r="611" spans="1:8" ht="38.25">
      <c r="A611" s="50"/>
      <c r="B611" s="50"/>
      <c r="C611" s="65"/>
      <c r="D611" s="69" t="s">
        <v>35</v>
      </c>
      <c r="E611" s="73" t="s">
        <v>36</v>
      </c>
      <c r="F611" s="215">
        <f>2376.1+73659+490.8+9.8-11379.4</f>
        <v>65156.30000000001</v>
      </c>
      <c r="G611" s="215">
        <f>2376.1+73659+490.8+9.8-11379.4</f>
        <v>65156.30000000001</v>
      </c>
      <c r="H611" s="62">
        <f t="shared" si="52"/>
        <v>100</v>
      </c>
    </row>
    <row r="612" spans="1:8" ht="38.25" customHeight="1">
      <c r="A612" s="50"/>
      <c r="B612" s="50"/>
      <c r="C612" s="65" t="s">
        <v>221</v>
      </c>
      <c r="D612" s="50"/>
      <c r="E612" s="66" t="s">
        <v>222</v>
      </c>
      <c r="F612" s="215">
        <f>F613+F616</f>
        <v>6173.827000000001</v>
      </c>
      <c r="G612" s="215">
        <f>G613+G616</f>
        <v>6173.827000000001</v>
      </c>
      <c r="H612" s="62">
        <f t="shared" si="52"/>
        <v>100</v>
      </c>
    </row>
    <row r="613" spans="1:8" ht="76.5">
      <c r="A613" s="50"/>
      <c r="B613" s="50"/>
      <c r="C613" s="65" t="s">
        <v>593</v>
      </c>
      <c r="D613" s="69"/>
      <c r="E613" s="66" t="s">
        <v>592</v>
      </c>
      <c r="F613" s="215">
        <f>F614</f>
        <v>5109.227000000001</v>
      </c>
      <c r="G613" s="215">
        <f>G614</f>
        <v>5109.227000000001</v>
      </c>
      <c r="H613" s="62">
        <f t="shared" si="52"/>
        <v>100</v>
      </c>
    </row>
    <row r="614" spans="1:8" ht="42.75" customHeight="1">
      <c r="A614" s="50"/>
      <c r="B614" s="50"/>
      <c r="C614" s="65"/>
      <c r="D614" s="69" t="s">
        <v>34</v>
      </c>
      <c r="E614" s="66" t="s">
        <v>735</v>
      </c>
      <c r="F614" s="215">
        <f>F615</f>
        <v>5109.227000000001</v>
      </c>
      <c r="G614" s="215">
        <f>G615</f>
        <v>5109.227000000001</v>
      </c>
      <c r="H614" s="62">
        <f t="shared" si="52"/>
        <v>100</v>
      </c>
    </row>
    <row r="615" spans="1:8" ht="44.25" customHeight="1">
      <c r="A615" s="50"/>
      <c r="B615" s="50"/>
      <c r="C615" s="65"/>
      <c r="D615" s="69"/>
      <c r="E615" s="73" t="s">
        <v>594</v>
      </c>
      <c r="F615" s="215">
        <f>255.462+4853.765</f>
        <v>5109.227000000001</v>
      </c>
      <c r="G615" s="215">
        <f>255.462+4853.765</f>
        <v>5109.227000000001</v>
      </c>
      <c r="H615" s="62">
        <f t="shared" si="52"/>
        <v>100</v>
      </c>
    </row>
    <row r="616" spans="1:8" ht="51">
      <c r="A616" s="50"/>
      <c r="B616" s="50"/>
      <c r="C616" s="65" t="s">
        <v>595</v>
      </c>
      <c r="D616" s="69"/>
      <c r="E616" s="73" t="s">
        <v>596</v>
      </c>
      <c r="F616" s="215">
        <f>F617</f>
        <v>1064.6</v>
      </c>
      <c r="G616" s="215">
        <f>G617</f>
        <v>1064.6</v>
      </c>
      <c r="H616" s="62">
        <f t="shared" si="52"/>
        <v>100</v>
      </c>
    </row>
    <row r="617" spans="1:8" ht="42" customHeight="1">
      <c r="A617" s="50"/>
      <c r="B617" s="50"/>
      <c r="C617" s="65"/>
      <c r="D617" s="69" t="s">
        <v>34</v>
      </c>
      <c r="E617" s="66" t="s">
        <v>729</v>
      </c>
      <c r="F617" s="215">
        <v>1064.6</v>
      </c>
      <c r="G617" s="215">
        <v>1064.6</v>
      </c>
      <c r="H617" s="62">
        <f t="shared" si="52"/>
        <v>100</v>
      </c>
    </row>
    <row r="618" spans="1:8" ht="24" customHeight="1">
      <c r="A618" s="50"/>
      <c r="B618" s="50"/>
      <c r="C618" s="65" t="s">
        <v>224</v>
      </c>
      <c r="D618" s="50"/>
      <c r="E618" s="73" t="s">
        <v>197</v>
      </c>
      <c r="F618" s="215">
        <f aca="true" t="shared" si="55" ref="F618:G620">F619</f>
        <v>2383.2000000000003</v>
      </c>
      <c r="G618" s="215">
        <f t="shared" si="55"/>
        <v>2383.2000000000003</v>
      </c>
      <c r="H618" s="62">
        <f t="shared" si="52"/>
        <v>100</v>
      </c>
    </row>
    <row r="619" spans="1:8" ht="27" customHeight="1">
      <c r="A619" s="50"/>
      <c r="B619" s="50"/>
      <c r="C619" s="65" t="s">
        <v>225</v>
      </c>
      <c r="D619" s="50"/>
      <c r="E619" s="66" t="s">
        <v>226</v>
      </c>
      <c r="F619" s="215">
        <f t="shared" si="55"/>
        <v>2383.2000000000003</v>
      </c>
      <c r="G619" s="215">
        <f t="shared" si="55"/>
        <v>2383.2000000000003</v>
      </c>
      <c r="H619" s="62">
        <f t="shared" si="52"/>
        <v>100</v>
      </c>
    </row>
    <row r="620" spans="1:8" ht="51">
      <c r="A620" s="50"/>
      <c r="B620" s="50"/>
      <c r="C620" s="65" t="s">
        <v>227</v>
      </c>
      <c r="D620" s="69"/>
      <c r="E620" s="73" t="s">
        <v>201</v>
      </c>
      <c r="F620" s="215">
        <f t="shared" si="55"/>
        <v>2383.2000000000003</v>
      </c>
      <c r="G620" s="215">
        <f t="shared" si="55"/>
        <v>2383.2000000000003</v>
      </c>
      <c r="H620" s="62">
        <f t="shared" si="52"/>
        <v>100</v>
      </c>
    </row>
    <row r="621" spans="1:8" ht="38.25">
      <c r="A621" s="50"/>
      <c r="B621" s="50"/>
      <c r="C621" s="50"/>
      <c r="D621" s="69" t="s">
        <v>35</v>
      </c>
      <c r="E621" s="73" t="s">
        <v>36</v>
      </c>
      <c r="F621" s="215">
        <f>3021.8-3.1-635.5</f>
        <v>2383.2000000000003</v>
      </c>
      <c r="G621" s="215">
        <f>3021.8-3.1-635.5</f>
        <v>2383.2000000000003</v>
      </c>
      <c r="H621" s="62">
        <f t="shared" si="52"/>
        <v>100</v>
      </c>
    </row>
    <row r="622" spans="1:8" ht="57" customHeight="1">
      <c r="A622" s="50"/>
      <c r="B622" s="50"/>
      <c r="C622" s="65" t="s">
        <v>208</v>
      </c>
      <c r="D622" s="49"/>
      <c r="E622" s="68" t="s">
        <v>24</v>
      </c>
      <c r="F622" s="215">
        <f>F623</f>
        <v>1676.6000000000001</v>
      </c>
      <c r="G622" s="215">
        <f>G623</f>
        <v>1676.6000000000001</v>
      </c>
      <c r="H622" s="62">
        <f t="shared" si="52"/>
        <v>100</v>
      </c>
    </row>
    <row r="623" spans="1:8" ht="25.5">
      <c r="A623" s="50"/>
      <c r="B623" s="50"/>
      <c r="C623" s="65" t="s">
        <v>597</v>
      </c>
      <c r="D623" s="65"/>
      <c r="E623" s="66" t="s">
        <v>598</v>
      </c>
      <c r="F623" s="215">
        <f>F624</f>
        <v>1676.6000000000001</v>
      </c>
      <c r="G623" s="215">
        <f>G624</f>
        <v>1676.6000000000001</v>
      </c>
      <c r="H623" s="62">
        <f t="shared" si="52"/>
        <v>100</v>
      </c>
    </row>
    <row r="624" spans="1:8" ht="38.25">
      <c r="A624" s="50"/>
      <c r="B624" s="50"/>
      <c r="C624" s="50"/>
      <c r="D624" s="69" t="s">
        <v>35</v>
      </c>
      <c r="E624" s="73" t="s">
        <v>36</v>
      </c>
      <c r="F624" s="215">
        <f>1.3+1508.9+166.4</f>
        <v>1676.6000000000001</v>
      </c>
      <c r="G624" s="215">
        <f>1.3+1508.9+166.4</f>
        <v>1676.6000000000001</v>
      </c>
      <c r="H624" s="62">
        <f t="shared" si="52"/>
        <v>100</v>
      </c>
    </row>
    <row r="625" spans="1:8" ht="15">
      <c r="A625" s="50"/>
      <c r="B625" s="76" t="s">
        <v>37</v>
      </c>
      <c r="C625" s="50"/>
      <c r="D625" s="65"/>
      <c r="E625" s="72" t="s">
        <v>38</v>
      </c>
      <c r="F625" s="215">
        <f>F626+F631</f>
        <v>519.9000000000001</v>
      </c>
      <c r="G625" s="215">
        <f>G626+G631</f>
        <v>519.9000000000001</v>
      </c>
      <c r="H625" s="62">
        <f t="shared" si="52"/>
        <v>100</v>
      </c>
    </row>
    <row r="626" spans="1:8" ht="53.25" customHeight="1">
      <c r="A626" s="50"/>
      <c r="B626" s="76"/>
      <c r="C626" s="65" t="s">
        <v>180</v>
      </c>
      <c r="D626" s="49"/>
      <c r="E626" s="68" t="s">
        <v>80</v>
      </c>
      <c r="F626" s="215">
        <f aca="true" t="shared" si="56" ref="F626:G629">F627</f>
        <v>217.8</v>
      </c>
      <c r="G626" s="215">
        <f t="shared" si="56"/>
        <v>217.8</v>
      </c>
      <c r="H626" s="62">
        <f t="shared" si="52"/>
        <v>100</v>
      </c>
    </row>
    <row r="627" spans="1:8" ht="38.25">
      <c r="A627" s="50"/>
      <c r="B627" s="76"/>
      <c r="C627" s="65" t="s">
        <v>181</v>
      </c>
      <c r="D627" s="50"/>
      <c r="E627" s="66" t="s">
        <v>182</v>
      </c>
      <c r="F627" s="215">
        <f t="shared" si="56"/>
        <v>217.8</v>
      </c>
      <c r="G627" s="215">
        <f t="shared" si="56"/>
        <v>217.8</v>
      </c>
      <c r="H627" s="62">
        <f t="shared" si="52"/>
        <v>100</v>
      </c>
    </row>
    <row r="628" spans="1:8" ht="25.5">
      <c r="A628" s="50"/>
      <c r="B628" s="76"/>
      <c r="C628" s="65" t="s">
        <v>228</v>
      </c>
      <c r="D628" s="50"/>
      <c r="E628" s="66" t="s">
        <v>229</v>
      </c>
      <c r="F628" s="215">
        <f t="shared" si="56"/>
        <v>217.8</v>
      </c>
      <c r="G628" s="215">
        <f t="shared" si="56"/>
        <v>217.8</v>
      </c>
      <c r="H628" s="62">
        <f t="shared" si="52"/>
        <v>100</v>
      </c>
    </row>
    <row r="629" spans="1:8" ht="79.5" customHeight="1">
      <c r="A629" s="50"/>
      <c r="B629" s="76"/>
      <c r="C629" s="65" t="s">
        <v>230</v>
      </c>
      <c r="D629" s="50"/>
      <c r="E629" s="66" t="s">
        <v>231</v>
      </c>
      <c r="F629" s="215">
        <f t="shared" si="56"/>
        <v>217.8</v>
      </c>
      <c r="G629" s="215">
        <f t="shared" si="56"/>
        <v>217.8</v>
      </c>
      <c r="H629" s="62">
        <f t="shared" si="52"/>
        <v>100</v>
      </c>
    </row>
    <row r="630" spans="1:8" ht="42" customHeight="1">
      <c r="A630" s="50"/>
      <c r="B630" s="76"/>
      <c r="C630" s="65"/>
      <c r="D630" s="69" t="s">
        <v>7</v>
      </c>
      <c r="E630" s="66" t="s">
        <v>549</v>
      </c>
      <c r="F630" s="215">
        <f>508-290.2</f>
        <v>217.8</v>
      </c>
      <c r="G630" s="215">
        <f>508-290.2</f>
        <v>217.8</v>
      </c>
      <c r="H630" s="62">
        <f t="shared" si="52"/>
        <v>100</v>
      </c>
    </row>
    <row r="631" spans="1:8" ht="51">
      <c r="A631" s="50"/>
      <c r="B631" s="76"/>
      <c r="C631" s="65" t="s">
        <v>269</v>
      </c>
      <c r="D631" s="65"/>
      <c r="E631" s="66" t="s">
        <v>575</v>
      </c>
      <c r="F631" s="215">
        <f>F632</f>
        <v>302.1</v>
      </c>
      <c r="G631" s="215">
        <f>G632</f>
        <v>302.1</v>
      </c>
      <c r="H631" s="62">
        <f t="shared" si="52"/>
        <v>100</v>
      </c>
    </row>
    <row r="632" spans="1:8" ht="38.25">
      <c r="A632" s="50"/>
      <c r="B632" s="76"/>
      <c r="C632" s="65" t="s">
        <v>583</v>
      </c>
      <c r="D632" s="50"/>
      <c r="E632" s="66" t="s">
        <v>584</v>
      </c>
      <c r="F632" s="215">
        <f>F633</f>
        <v>302.1</v>
      </c>
      <c r="G632" s="215">
        <f>G633</f>
        <v>302.1</v>
      </c>
      <c r="H632" s="62">
        <f t="shared" si="52"/>
        <v>100</v>
      </c>
    </row>
    <row r="633" spans="1:8" ht="39.75" customHeight="1">
      <c r="A633" s="50"/>
      <c r="B633" s="76"/>
      <c r="C633" s="65" t="s">
        <v>585</v>
      </c>
      <c r="D633" s="76"/>
      <c r="E633" s="73" t="s">
        <v>599</v>
      </c>
      <c r="F633" s="215">
        <f>F634+F636</f>
        <v>302.1</v>
      </c>
      <c r="G633" s="215">
        <f>G634+G636</f>
        <v>302.1</v>
      </c>
      <c r="H633" s="62">
        <f aca="true" t="shared" si="57" ref="H633:H696">G633/F633*100</f>
        <v>100</v>
      </c>
    </row>
    <row r="634" spans="1:8" ht="91.5" customHeight="1">
      <c r="A634" s="50"/>
      <c r="B634" s="76"/>
      <c r="C634" s="65" t="s">
        <v>600</v>
      </c>
      <c r="D634" s="50"/>
      <c r="E634" s="80" t="s">
        <v>601</v>
      </c>
      <c r="F634" s="215">
        <f>F635</f>
        <v>278.5</v>
      </c>
      <c r="G634" s="215">
        <f>G635</f>
        <v>278.5</v>
      </c>
      <c r="H634" s="62">
        <f t="shared" si="57"/>
        <v>100</v>
      </c>
    </row>
    <row r="635" spans="1:8" ht="15">
      <c r="A635" s="50"/>
      <c r="B635" s="50"/>
      <c r="C635" s="65"/>
      <c r="D635" s="65" t="s">
        <v>8</v>
      </c>
      <c r="E635" s="66" t="s">
        <v>9</v>
      </c>
      <c r="F635" s="215">
        <f>370+180-271.5</f>
        <v>278.5</v>
      </c>
      <c r="G635" s="215">
        <f>370+180-271.5</f>
        <v>278.5</v>
      </c>
      <c r="H635" s="62">
        <f t="shared" si="57"/>
        <v>100</v>
      </c>
    </row>
    <row r="636" spans="1:8" ht="76.5">
      <c r="A636" s="50"/>
      <c r="B636" s="50"/>
      <c r="C636" s="65" t="s">
        <v>602</v>
      </c>
      <c r="D636" s="50"/>
      <c r="E636" s="80" t="s">
        <v>603</v>
      </c>
      <c r="F636" s="215">
        <f>F637</f>
        <v>23.6</v>
      </c>
      <c r="G636" s="215">
        <f>G637</f>
        <v>23.6</v>
      </c>
      <c r="H636" s="62">
        <f t="shared" si="57"/>
        <v>100</v>
      </c>
    </row>
    <row r="637" spans="1:8" ht="15">
      <c r="A637" s="50"/>
      <c r="B637" s="50"/>
      <c r="C637" s="65"/>
      <c r="D637" s="65" t="s">
        <v>8</v>
      </c>
      <c r="E637" s="66" t="s">
        <v>9</v>
      </c>
      <c r="F637" s="215">
        <f>60-36.4</f>
        <v>23.6</v>
      </c>
      <c r="G637" s="215">
        <f>60-36.4</f>
        <v>23.6</v>
      </c>
      <c r="H637" s="62">
        <f t="shared" si="57"/>
        <v>100</v>
      </c>
    </row>
    <row r="638" spans="1:8" ht="25.5">
      <c r="A638" s="50"/>
      <c r="B638" s="65" t="s">
        <v>39</v>
      </c>
      <c r="C638" s="65"/>
      <c r="D638" s="81"/>
      <c r="E638" s="73" t="s">
        <v>77</v>
      </c>
      <c r="F638" s="215">
        <f>F639+F649+F657</f>
        <v>17927.699999999997</v>
      </c>
      <c r="G638" s="215">
        <f>G639+G649+G657</f>
        <v>17927.699999999997</v>
      </c>
      <c r="H638" s="62">
        <f t="shared" si="57"/>
        <v>100</v>
      </c>
    </row>
    <row r="639" spans="1:8" ht="15">
      <c r="A639" s="50"/>
      <c r="B639" s="65" t="s">
        <v>40</v>
      </c>
      <c r="C639" s="65"/>
      <c r="D639" s="69"/>
      <c r="E639" s="67" t="s">
        <v>41</v>
      </c>
      <c r="F639" s="215">
        <f aca="true" t="shared" si="58" ref="F639:G641">F640</f>
        <v>7979.7</v>
      </c>
      <c r="G639" s="215">
        <f t="shared" si="58"/>
        <v>7979.7</v>
      </c>
      <c r="H639" s="62">
        <f t="shared" si="57"/>
        <v>100</v>
      </c>
    </row>
    <row r="640" spans="1:8" ht="38.25">
      <c r="A640" s="50"/>
      <c r="B640" s="50"/>
      <c r="C640" s="65" t="s">
        <v>213</v>
      </c>
      <c r="D640" s="49"/>
      <c r="E640" s="68" t="s">
        <v>214</v>
      </c>
      <c r="F640" s="215">
        <f t="shared" si="58"/>
        <v>7979.7</v>
      </c>
      <c r="G640" s="215">
        <f t="shared" si="58"/>
        <v>7979.7</v>
      </c>
      <c r="H640" s="62">
        <f t="shared" si="57"/>
        <v>100</v>
      </c>
    </row>
    <row r="641" spans="1:8" ht="38.25">
      <c r="A641" s="50"/>
      <c r="B641" s="50"/>
      <c r="C641" s="65" t="s">
        <v>232</v>
      </c>
      <c r="D641" s="65"/>
      <c r="E641" s="66" t="s">
        <v>233</v>
      </c>
      <c r="F641" s="215">
        <f t="shared" si="58"/>
        <v>7979.7</v>
      </c>
      <c r="G641" s="215">
        <f t="shared" si="58"/>
        <v>7979.7</v>
      </c>
      <c r="H641" s="62">
        <f t="shared" si="57"/>
        <v>100</v>
      </c>
    </row>
    <row r="642" spans="1:8" ht="25.5">
      <c r="A642" s="50"/>
      <c r="B642" s="50"/>
      <c r="C642" s="65" t="s">
        <v>234</v>
      </c>
      <c r="D642" s="50"/>
      <c r="E642" s="73" t="s">
        <v>235</v>
      </c>
      <c r="F642" s="215">
        <f>F643+F646</f>
        <v>7979.7</v>
      </c>
      <c r="G642" s="215">
        <f>G643+G646</f>
        <v>7979.7</v>
      </c>
      <c r="H642" s="62">
        <f t="shared" si="57"/>
        <v>100</v>
      </c>
    </row>
    <row r="643" spans="1:8" ht="63.75">
      <c r="A643" s="50"/>
      <c r="B643" s="50"/>
      <c r="C643" s="65" t="s">
        <v>604</v>
      </c>
      <c r="D643" s="50"/>
      <c r="E643" s="73" t="s">
        <v>236</v>
      </c>
      <c r="F643" s="215">
        <f>F644</f>
        <v>7255.7</v>
      </c>
      <c r="G643" s="215">
        <f>G644</f>
        <v>7255.7</v>
      </c>
      <c r="H643" s="62">
        <f t="shared" si="57"/>
        <v>100</v>
      </c>
    </row>
    <row r="644" spans="1:8" ht="40.5" customHeight="1">
      <c r="A644" s="50"/>
      <c r="B644" s="50"/>
      <c r="C644" s="65"/>
      <c r="D644" s="69" t="s">
        <v>34</v>
      </c>
      <c r="E644" s="66" t="s">
        <v>735</v>
      </c>
      <c r="F644" s="215">
        <v>7255.7</v>
      </c>
      <c r="G644" s="215">
        <v>7255.7</v>
      </c>
      <c r="H644" s="62">
        <f t="shared" si="57"/>
        <v>100</v>
      </c>
    </row>
    <row r="645" spans="1:8" ht="25.5">
      <c r="A645" s="50"/>
      <c r="B645" s="50"/>
      <c r="C645" s="65"/>
      <c r="D645" s="69"/>
      <c r="E645" s="71" t="s">
        <v>349</v>
      </c>
      <c r="F645" s="215">
        <v>7255.8</v>
      </c>
      <c r="G645" s="215">
        <v>7255.8</v>
      </c>
      <c r="H645" s="62">
        <f t="shared" si="57"/>
        <v>100</v>
      </c>
    </row>
    <row r="646" spans="1:8" ht="38.25">
      <c r="A646" s="50"/>
      <c r="B646" s="50"/>
      <c r="C646" s="65" t="s">
        <v>350</v>
      </c>
      <c r="D646" s="69"/>
      <c r="E646" s="71" t="s">
        <v>605</v>
      </c>
      <c r="F646" s="215">
        <f>F647</f>
        <v>724</v>
      </c>
      <c r="G646" s="215">
        <f>G647</f>
        <v>724</v>
      </c>
      <c r="H646" s="62">
        <f t="shared" si="57"/>
        <v>100</v>
      </c>
    </row>
    <row r="647" spans="1:8" ht="38.25">
      <c r="A647" s="50"/>
      <c r="B647" s="50"/>
      <c r="C647" s="65" t="s">
        <v>351</v>
      </c>
      <c r="D647" s="69"/>
      <c r="E647" s="71" t="s">
        <v>670</v>
      </c>
      <c r="F647" s="215">
        <f>F648</f>
        <v>724</v>
      </c>
      <c r="G647" s="215">
        <f>G648</f>
        <v>724</v>
      </c>
      <c r="H647" s="62">
        <f t="shared" si="57"/>
        <v>100</v>
      </c>
    </row>
    <row r="648" spans="1:8" ht="38.25">
      <c r="A648" s="50"/>
      <c r="B648" s="50"/>
      <c r="C648" s="65"/>
      <c r="D648" s="69" t="s">
        <v>35</v>
      </c>
      <c r="E648" s="73" t="s">
        <v>36</v>
      </c>
      <c r="F648" s="215">
        <v>724</v>
      </c>
      <c r="G648" s="215">
        <v>724</v>
      </c>
      <c r="H648" s="62">
        <f t="shared" si="57"/>
        <v>100</v>
      </c>
    </row>
    <row r="649" spans="1:8" ht="15">
      <c r="A649" s="50"/>
      <c r="B649" s="65" t="s">
        <v>366</v>
      </c>
      <c r="C649" s="50"/>
      <c r="D649" s="69"/>
      <c r="E649" s="67" t="s">
        <v>367</v>
      </c>
      <c r="F649" s="215">
        <f aca="true" t="shared" si="59" ref="F649:G651">F650</f>
        <v>3524.2</v>
      </c>
      <c r="G649" s="215">
        <f t="shared" si="59"/>
        <v>3524.2</v>
      </c>
      <c r="H649" s="62">
        <f t="shared" si="57"/>
        <v>100</v>
      </c>
    </row>
    <row r="650" spans="1:14" ht="38.25">
      <c r="A650" s="50"/>
      <c r="B650" s="50"/>
      <c r="C650" s="65" t="s">
        <v>213</v>
      </c>
      <c r="D650" s="49"/>
      <c r="E650" s="68" t="s">
        <v>214</v>
      </c>
      <c r="F650" s="215">
        <f t="shared" si="59"/>
        <v>3524.2</v>
      </c>
      <c r="G650" s="215">
        <f t="shared" si="59"/>
        <v>3524.2</v>
      </c>
      <c r="H650" s="62">
        <f t="shared" si="57"/>
        <v>100</v>
      </c>
      <c r="J650" s="96"/>
      <c r="K650" s="96"/>
      <c r="L650" s="96"/>
      <c r="M650" s="97"/>
      <c r="N650" s="98"/>
    </row>
    <row r="651" spans="1:14" ht="25.5">
      <c r="A651" s="50"/>
      <c r="B651" s="50"/>
      <c r="C651" s="65" t="s">
        <v>606</v>
      </c>
      <c r="D651" s="50"/>
      <c r="E651" s="73" t="s">
        <v>607</v>
      </c>
      <c r="F651" s="215">
        <f t="shared" si="59"/>
        <v>3524.2</v>
      </c>
      <c r="G651" s="215">
        <f t="shared" si="59"/>
        <v>3524.2</v>
      </c>
      <c r="H651" s="62">
        <f t="shared" si="57"/>
        <v>100</v>
      </c>
      <c r="J651" s="96"/>
      <c r="K651" s="96"/>
      <c r="L651" s="96"/>
      <c r="M651" s="97"/>
      <c r="N651" s="98"/>
    </row>
    <row r="652" spans="1:14" ht="38.25">
      <c r="A652" s="50"/>
      <c r="B652" s="50"/>
      <c r="C652" s="65" t="s">
        <v>608</v>
      </c>
      <c r="D652" s="50"/>
      <c r="E652" s="66" t="s">
        <v>609</v>
      </c>
      <c r="F652" s="215">
        <f>F653+F655</f>
        <v>3524.2</v>
      </c>
      <c r="G652" s="215">
        <f>G653+G655</f>
        <v>3524.2</v>
      </c>
      <c r="H652" s="62">
        <f t="shared" si="57"/>
        <v>100</v>
      </c>
      <c r="J652" s="96"/>
      <c r="K652" s="96"/>
      <c r="L652" s="96"/>
      <c r="M652" s="97"/>
      <c r="N652" s="98"/>
    </row>
    <row r="653" spans="1:14" ht="38.25">
      <c r="A653" s="50"/>
      <c r="B653" s="50"/>
      <c r="C653" s="65" t="s">
        <v>610</v>
      </c>
      <c r="D653" s="69"/>
      <c r="E653" s="73" t="s">
        <v>611</v>
      </c>
      <c r="F653" s="215">
        <f>F654</f>
        <v>3006.7</v>
      </c>
      <c r="G653" s="215">
        <f>G654</f>
        <v>3006.7</v>
      </c>
      <c r="H653" s="62">
        <f t="shared" si="57"/>
        <v>100</v>
      </c>
      <c r="J653" s="99"/>
      <c r="K653" s="99"/>
      <c r="L653" s="99"/>
      <c r="M653" s="97"/>
      <c r="N653" s="98"/>
    </row>
    <row r="654" spans="1:14" ht="38.25">
      <c r="A654" s="50"/>
      <c r="B654" s="50"/>
      <c r="C654" s="50"/>
      <c r="D654" s="69" t="s">
        <v>35</v>
      </c>
      <c r="E654" s="73" t="s">
        <v>36</v>
      </c>
      <c r="F654" s="215">
        <f>546.6+3748.6-1288.6+0.1</f>
        <v>3006.7</v>
      </c>
      <c r="G654" s="215">
        <f>546.6+3748.6-1288.6+0.1</f>
        <v>3006.7</v>
      </c>
      <c r="H654" s="62">
        <f t="shared" si="57"/>
        <v>100</v>
      </c>
      <c r="J654" s="99"/>
      <c r="K654" s="96"/>
      <c r="L654" s="96"/>
      <c r="M654" s="97"/>
      <c r="N654" s="98"/>
    </row>
    <row r="655" spans="1:14" ht="38.25">
      <c r="A655" s="50"/>
      <c r="B655" s="50"/>
      <c r="C655" s="65" t="s">
        <v>706</v>
      </c>
      <c r="D655" s="69"/>
      <c r="E655" s="73" t="s">
        <v>611</v>
      </c>
      <c r="F655" s="215">
        <f>F656</f>
        <v>517.5</v>
      </c>
      <c r="G655" s="215">
        <f>G656</f>
        <v>517.5</v>
      </c>
      <c r="H655" s="62">
        <f t="shared" si="57"/>
        <v>100</v>
      </c>
      <c r="J655" s="99"/>
      <c r="K655" s="99"/>
      <c r="L655" s="99"/>
      <c r="M655" s="97"/>
      <c r="N655" s="98"/>
    </row>
    <row r="656" spans="1:14" ht="38.25">
      <c r="A656" s="50"/>
      <c r="B656" s="50"/>
      <c r="C656" s="50"/>
      <c r="D656" s="69" t="s">
        <v>35</v>
      </c>
      <c r="E656" s="73" t="s">
        <v>36</v>
      </c>
      <c r="F656" s="215">
        <f>1053.7+117.1-653.3</f>
        <v>517.5</v>
      </c>
      <c r="G656" s="215">
        <f>1053.7+117.1-653.3</f>
        <v>517.5</v>
      </c>
      <c r="H656" s="62">
        <f t="shared" si="57"/>
        <v>100</v>
      </c>
      <c r="J656" s="99"/>
      <c r="K656" s="100"/>
      <c r="L656" s="100"/>
      <c r="M656" s="97"/>
      <c r="N656" s="98"/>
    </row>
    <row r="657" spans="1:8" ht="25.5">
      <c r="A657" s="50"/>
      <c r="B657" s="65" t="s">
        <v>42</v>
      </c>
      <c r="C657" s="50"/>
      <c r="D657" s="69"/>
      <c r="E657" s="67" t="s">
        <v>43</v>
      </c>
      <c r="F657" s="215">
        <f aca="true" t="shared" si="60" ref="F657:G661">F658</f>
        <v>6423.799999999999</v>
      </c>
      <c r="G657" s="215">
        <f t="shared" si="60"/>
        <v>6423.799999999999</v>
      </c>
      <c r="H657" s="62">
        <f t="shared" si="57"/>
        <v>100</v>
      </c>
    </row>
    <row r="658" spans="1:8" ht="38.25">
      <c r="A658" s="50"/>
      <c r="B658" s="50"/>
      <c r="C658" s="65" t="s">
        <v>213</v>
      </c>
      <c r="D658" s="49"/>
      <c r="E658" s="68" t="s">
        <v>214</v>
      </c>
      <c r="F658" s="215">
        <f t="shared" si="60"/>
        <v>6423.799999999999</v>
      </c>
      <c r="G658" s="215">
        <f t="shared" si="60"/>
        <v>6423.799999999999</v>
      </c>
      <c r="H658" s="62">
        <f t="shared" si="57"/>
        <v>100</v>
      </c>
    </row>
    <row r="659" spans="1:8" ht="29.25" customHeight="1">
      <c r="A659" s="50"/>
      <c r="B659" s="50"/>
      <c r="C659" s="65" t="s">
        <v>224</v>
      </c>
      <c r="D659" s="50"/>
      <c r="E659" s="73" t="s">
        <v>197</v>
      </c>
      <c r="F659" s="215">
        <f t="shared" si="60"/>
        <v>6423.799999999999</v>
      </c>
      <c r="G659" s="215">
        <f t="shared" si="60"/>
        <v>6423.799999999999</v>
      </c>
      <c r="H659" s="62">
        <f t="shared" si="57"/>
        <v>100</v>
      </c>
    </row>
    <row r="660" spans="1:8" ht="27" customHeight="1">
      <c r="A660" s="50"/>
      <c r="B660" s="50"/>
      <c r="C660" s="65" t="s">
        <v>225</v>
      </c>
      <c r="D660" s="50"/>
      <c r="E660" s="66" t="s">
        <v>226</v>
      </c>
      <c r="F660" s="215">
        <f t="shared" si="60"/>
        <v>6423.799999999999</v>
      </c>
      <c r="G660" s="215">
        <f t="shared" si="60"/>
        <v>6423.799999999999</v>
      </c>
      <c r="H660" s="62">
        <f t="shared" si="57"/>
        <v>100</v>
      </c>
    </row>
    <row r="661" spans="1:8" ht="51">
      <c r="A661" s="50"/>
      <c r="B661" s="50"/>
      <c r="C661" s="65" t="s">
        <v>227</v>
      </c>
      <c r="D661" s="69"/>
      <c r="E661" s="73" t="s">
        <v>201</v>
      </c>
      <c r="F661" s="215">
        <f t="shared" si="60"/>
        <v>6423.799999999999</v>
      </c>
      <c r="G661" s="215">
        <f t="shared" si="60"/>
        <v>6423.799999999999</v>
      </c>
      <c r="H661" s="62">
        <f t="shared" si="57"/>
        <v>100</v>
      </c>
    </row>
    <row r="662" spans="1:8" ht="38.25">
      <c r="A662" s="50"/>
      <c r="B662" s="50"/>
      <c r="C662" s="50"/>
      <c r="D662" s="69" t="s">
        <v>35</v>
      </c>
      <c r="E662" s="73" t="s">
        <v>36</v>
      </c>
      <c r="F662" s="215">
        <f>7600.4+576.6+3.9-1757.1</f>
        <v>6423.799999999999</v>
      </c>
      <c r="G662" s="215">
        <f>7600.4+576.6+3.9-1757.1</f>
        <v>6423.799999999999</v>
      </c>
      <c r="H662" s="62">
        <f t="shared" si="57"/>
        <v>100</v>
      </c>
    </row>
    <row r="663" spans="1:8" ht="15">
      <c r="A663" s="50"/>
      <c r="B663" s="76" t="s">
        <v>116</v>
      </c>
      <c r="C663" s="65"/>
      <c r="D663" s="76"/>
      <c r="E663" s="72" t="s">
        <v>117</v>
      </c>
      <c r="F663" s="215">
        <f aca="true" t="shared" si="61" ref="F663:G668">F664</f>
        <v>566.6</v>
      </c>
      <c r="G663" s="215">
        <f t="shared" si="61"/>
        <v>566.6</v>
      </c>
      <c r="H663" s="62">
        <f t="shared" si="57"/>
        <v>100</v>
      </c>
    </row>
    <row r="664" spans="1:8" ht="15">
      <c r="A664" s="50"/>
      <c r="B664" s="76" t="s">
        <v>118</v>
      </c>
      <c r="C664" s="65"/>
      <c r="D664" s="76"/>
      <c r="E664" s="72" t="s">
        <v>119</v>
      </c>
      <c r="F664" s="215">
        <f t="shared" si="61"/>
        <v>566.6</v>
      </c>
      <c r="G664" s="215">
        <f t="shared" si="61"/>
        <v>566.6</v>
      </c>
      <c r="H664" s="62">
        <f t="shared" si="57"/>
        <v>100</v>
      </c>
    </row>
    <row r="665" spans="1:8" ht="38.25">
      <c r="A665" s="50"/>
      <c r="B665" s="50"/>
      <c r="C665" s="65" t="s">
        <v>213</v>
      </c>
      <c r="D665" s="49"/>
      <c r="E665" s="68" t="s">
        <v>214</v>
      </c>
      <c r="F665" s="215">
        <f t="shared" si="61"/>
        <v>566.6</v>
      </c>
      <c r="G665" s="215">
        <f t="shared" si="61"/>
        <v>566.6</v>
      </c>
      <c r="H665" s="62">
        <f t="shared" si="57"/>
        <v>100</v>
      </c>
    </row>
    <row r="666" spans="1:8" ht="26.25" customHeight="1">
      <c r="A666" s="50"/>
      <c r="B666" s="50"/>
      <c r="C666" s="65" t="s">
        <v>224</v>
      </c>
      <c r="D666" s="50"/>
      <c r="E666" s="73" t="s">
        <v>197</v>
      </c>
      <c r="F666" s="215">
        <f t="shared" si="61"/>
        <v>566.6</v>
      </c>
      <c r="G666" s="215">
        <f t="shared" si="61"/>
        <v>566.6</v>
      </c>
      <c r="H666" s="62">
        <f t="shared" si="57"/>
        <v>100</v>
      </c>
    </row>
    <row r="667" spans="1:8" ht="27.75" customHeight="1">
      <c r="A667" s="50"/>
      <c r="B667" s="50"/>
      <c r="C667" s="65" t="s">
        <v>225</v>
      </c>
      <c r="D667" s="50"/>
      <c r="E667" s="66" t="s">
        <v>226</v>
      </c>
      <c r="F667" s="215">
        <f t="shared" si="61"/>
        <v>566.6</v>
      </c>
      <c r="G667" s="215">
        <f t="shared" si="61"/>
        <v>566.6</v>
      </c>
      <c r="H667" s="62">
        <f t="shared" si="57"/>
        <v>100</v>
      </c>
    </row>
    <row r="668" spans="1:8" ht="51">
      <c r="A668" s="50"/>
      <c r="B668" s="50"/>
      <c r="C668" s="65" t="s">
        <v>227</v>
      </c>
      <c r="D668" s="69"/>
      <c r="E668" s="73" t="s">
        <v>201</v>
      </c>
      <c r="F668" s="215">
        <f t="shared" si="61"/>
        <v>566.6</v>
      </c>
      <c r="G668" s="215">
        <f t="shared" si="61"/>
        <v>566.6</v>
      </c>
      <c r="H668" s="62">
        <f t="shared" si="57"/>
        <v>100</v>
      </c>
    </row>
    <row r="669" spans="1:8" ht="38.25">
      <c r="A669" s="50"/>
      <c r="B669" s="50"/>
      <c r="C669" s="50"/>
      <c r="D669" s="69" t="s">
        <v>35</v>
      </c>
      <c r="E669" s="73" t="s">
        <v>36</v>
      </c>
      <c r="F669" s="215">
        <f>721.3-0.8-153.9</f>
        <v>566.6</v>
      </c>
      <c r="G669" s="215">
        <f>721.3-0.8-153.9</f>
        <v>566.6</v>
      </c>
      <c r="H669" s="62">
        <f t="shared" si="57"/>
        <v>100</v>
      </c>
    </row>
    <row r="670" spans="1:8" ht="15">
      <c r="A670" s="50"/>
      <c r="B670" s="65" t="s">
        <v>44</v>
      </c>
      <c r="C670" s="65"/>
      <c r="D670" s="65"/>
      <c r="E670" s="66" t="s">
        <v>81</v>
      </c>
      <c r="F670" s="215">
        <f>F671+F679</f>
        <v>6051.199999999999</v>
      </c>
      <c r="G670" s="215">
        <f>G671+G679</f>
        <v>6051.199999999999</v>
      </c>
      <c r="H670" s="62">
        <f t="shared" si="57"/>
        <v>100</v>
      </c>
    </row>
    <row r="671" spans="1:8" ht="15">
      <c r="A671" s="50"/>
      <c r="B671" s="65" t="s">
        <v>47</v>
      </c>
      <c r="C671" s="65"/>
      <c r="D671" s="65"/>
      <c r="E671" s="66" t="s">
        <v>48</v>
      </c>
      <c r="F671" s="215">
        <f aca="true" t="shared" si="62" ref="F671:G673">F672</f>
        <v>4328.499999999999</v>
      </c>
      <c r="G671" s="215">
        <f t="shared" si="62"/>
        <v>4328.499999999999</v>
      </c>
      <c r="H671" s="62">
        <f t="shared" si="57"/>
        <v>100</v>
      </c>
    </row>
    <row r="672" spans="1:8" ht="38.25">
      <c r="A672" s="50"/>
      <c r="B672" s="65"/>
      <c r="C672" s="65" t="s">
        <v>237</v>
      </c>
      <c r="D672" s="49"/>
      <c r="E672" s="68" t="s">
        <v>82</v>
      </c>
      <c r="F672" s="215">
        <f t="shared" si="62"/>
        <v>4328.499999999999</v>
      </c>
      <c r="G672" s="215">
        <f t="shared" si="62"/>
        <v>4328.499999999999</v>
      </c>
      <c r="H672" s="62">
        <f t="shared" si="57"/>
        <v>100</v>
      </c>
    </row>
    <row r="673" spans="1:8" ht="38.25">
      <c r="A673" s="50"/>
      <c r="B673" s="50"/>
      <c r="C673" s="65" t="s">
        <v>244</v>
      </c>
      <c r="D673" s="65"/>
      <c r="E673" s="66" t="s">
        <v>245</v>
      </c>
      <c r="F673" s="215">
        <f t="shared" si="62"/>
        <v>4328.499999999999</v>
      </c>
      <c r="G673" s="215">
        <f t="shared" si="62"/>
        <v>4328.499999999999</v>
      </c>
      <c r="H673" s="62">
        <f t="shared" si="57"/>
        <v>100</v>
      </c>
    </row>
    <row r="674" spans="1:8" ht="102">
      <c r="A674" s="50"/>
      <c r="B674" s="81"/>
      <c r="C674" s="65" t="s">
        <v>246</v>
      </c>
      <c r="D674" s="65"/>
      <c r="E674" s="66" t="s">
        <v>247</v>
      </c>
      <c r="F674" s="215">
        <f>F675+F677</f>
        <v>4328.499999999999</v>
      </c>
      <c r="G674" s="215">
        <f>G675+G677</f>
        <v>4328.499999999999</v>
      </c>
      <c r="H674" s="62">
        <f t="shared" si="57"/>
        <v>100</v>
      </c>
    </row>
    <row r="675" spans="1:8" ht="38.25">
      <c r="A675" s="50"/>
      <c r="B675" s="65"/>
      <c r="C675" s="65" t="s">
        <v>248</v>
      </c>
      <c r="D675" s="65"/>
      <c r="E675" s="68" t="s">
        <v>243</v>
      </c>
      <c r="F675" s="215">
        <f>F676</f>
        <v>415.99999999999994</v>
      </c>
      <c r="G675" s="215">
        <f>G676</f>
        <v>415.99999999999994</v>
      </c>
      <c r="H675" s="62">
        <f t="shared" si="57"/>
        <v>100</v>
      </c>
    </row>
    <row r="676" spans="1:8" ht="38.25">
      <c r="A676" s="50"/>
      <c r="B676" s="65"/>
      <c r="C676" s="65"/>
      <c r="D676" s="65" t="s">
        <v>35</v>
      </c>
      <c r="E676" s="66" t="s">
        <v>83</v>
      </c>
      <c r="F676" s="215">
        <f>560.5+456.8-114.5-0.1-486.7</f>
        <v>415.99999999999994</v>
      </c>
      <c r="G676" s="215">
        <f>560.5+456.8-114.5-0.1-486.7</f>
        <v>415.99999999999994</v>
      </c>
      <c r="H676" s="62">
        <f t="shared" si="57"/>
        <v>100</v>
      </c>
    </row>
    <row r="677" spans="1:8" ht="63.75">
      <c r="A677" s="50"/>
      <c r="B677" s="65"/>
      <c r="C677" s="65" t="s">
        <v>612</v>
      </c>
      <c r="D677" s="65"/>
      <c r="E677" s="66" t="s">
        <v>236</v>
      </c>
      <c r="F677" s="215">
        <f>F678</f>
        <v>3912.4999999999995</v>
      </c>
      <c r="G677" s="215">
        <f>G678</f>
        <v>3912.4999999999995</v>
      </c>
      <c r="H677" s="62">
        <f t="shared" si="57"/>
        <v>100</v>
      </c>
    </row>
    <row r="678" spans="1:8" ht="38.25">
      <c r="A678" s="50"/>
      <c r="B678" s="65"/>
      <c r="C678" s="65"/>
      <c r="D678" s="65" t="s">
        <v>35</v>
      </c>
      <c r="E678" s="66" t="s">
        <v>83</v>
      </c>
      <c r="F678" s="215">
        <f>286.5+859.6+5306.3-794.1+0.1-1745.9</f>
        <v>3912.4999999999995</v>
      </c>
      <c r="G678" s="215">
        <f>286.5+859.6+5306.3-794.1+0.1-1745.9</f>
        <v>3912.4999999999995</v>
      </c>
      <c r="H678" s="62">
        <f t="shared" si="57"/>
        <v>100</v>
      </c>
    </row>
    <row r="679" spans="1:8" ht="15">
      <c r="A679" s="50"/>
      <c r="B679" s="65" t="s">
        <v>49</v>
      </c>
      <c r="C679" s="65"/>
      <c r="D679" s="65"/>
      <c r="E679" s="80" t="s">
        <v>253</v>
      </c>
      <c r="F679" s="215">
        <f aca="true" t="shared" si="63" ref="F679:G681">F680</f>
        <v>1722.7000000000003</v>
      </c>
      <c r="G679" s="215">
        <f t="shared" si="63"/>
        <v>1722.7000000000003</v>
      </c>
      <c r="H679" s="62">
        <f t="shared" si="57"/>
        <v>100</v>
      </c>
    </row>
    <row r="680" spans="1:8" ht="51">
      <c r="A680" s="50"/>
      <c r="B680" s="65"/>
      <c r="C680" s="65" t="s">
        <v>254</v>
      </c>
      <c r="D680" s="69"/>
      <c r="E680" s="68" t="s">
        <v>84</v>
      </c>
      <c r="F680" s="215">
        <f t="shared" si="63"/>
        <v>1722.7000000000003</v>
      </c>
      <c r="G680" s="215">
        <f t="shared" si="63"/>
        <v>1722.7000000000003</v>
      </c>
      <c r="H680" s="62">
        <f t="shared" si="57"/>
        <v>100</v>
      </c>
    </row>
    <row r="681" spans="1:8" ht="25.5">
      <c r="A681" s="50"/>
      <c r="B681" s="50"/>
      <c r="C681" s="65" t="s">
        <v>255</v>
      </c>
      <c r="D681" s="69"/>
      <c r="E681" s="73" t="s">
        <v>256</v>
      </c>
      <c r="F681" s="215">
        <f t="shared" si="63"/>
        <v>1722.7000000000003</v>
      </c>
      <c r="G681" s="215">
        <f t="shared" si="63"/>
        <v>1722.7000000000003</v>
      </c>
      <c r="H681" s="62">
        <f t="shared" si="57"/>
        <v>100</v>
      </c>
    </row>
    <row r="682" spans="1:8" ht="25.5">
      <c r="A682" s="50"/>
      <c r="B682" s="50"/>
      <c r="C682" s="65" t="s">
        <v>257</v>
      </c>
      <c r="D682" s="50"/>
      <c r="E682" s="66" t="s">
        <v>258</v>
      </c>
      <c r="F682" s="215">
        <f>F683+F685</f>
        <v>1722.7000000000003</v>
      </c>
      <c r="G682" s="215">
        <f>G683+G685</f>
        <v>1722.7000000000003</v>
      </c>
      <c r="H682" s="62">
        <f t="shared" si="57"/>
        <v>100</v>
      </c>
    </row>
    <row r="683" spans="1:8" ht="25.5">
      <c r="A683" s="50"/>
      <c r="B683" s="50"/>
      <c r="C683" s="65" t="s">
        <v>259</v>
      </c>
      <c r="D683" s="50"/>
      <c r="E683" s="66" t="s">
        <v>260</v>
      </c>
      <c r="F683" s="215">
        <f>F684</f>
        <v>81.89999999999998</v>
      </c>
      <c r="G683" s="215">
        <f>G684</f>
        <v>81.89999999999998</v>
      </c>
      <c r="H683" s="62">
        <f t="shared" si="57"/>
        <v>100</v>
      </c>
    </row>
    <row r="684" spans="1:8" ht="38.25">
      <c r="A684" s="50"/>
      <c r="B684" s="50"/>
      <c r="C684" s="65"/>
      <c r="D684" s="69" t="s">
        <v>35</v>
      </c>
      <c r="E684" s="73" t="s">
        <v>36</v>
      </c>
      <c r="F684" s="215">
        <f>395-313.1</f>
        <v>81.89999999999998</v>
      </c>
      <c r="G684" s="215">
        <f>395-313.1</f>
        <v>81.89999999999998</v>
      </c>
      <c r="H684" s="62">
        <f t="shared" si="57"/>
        <v>100</v>
      </c>
    </row>
    <row r="685" spans="1:8" ht="51">
      <c r="A685" s="50"/>
      <c r="B685" s="50"/>
      <c r="C685" s="65" t="s">
        <v>261</v>
      </c>
      <c r="D685" s="50"/>
      <c r="E685" s="66" t="s">
        <v>201</v>
      </c>
      <c r="F685" s="215">
        <f>F686</f>
        <v>1640.8000000000002</v>
      </c>
      <c r="G685" s="215">
        <f>G686</f>
        <v>1640.8000000000002</v>
      </c>
      <c r="H685" s="62">
        <f t="shared" si="57"/>
        <v>100</v>
      </c>
    </row>
    <row r="686" spans="1:8" ht="38.25">
      <c r="A686" s="50"/>
      <c r="B686" s="50"/>
      <c r="C686" s="65"/>
      <c r="D686" s="69" t="s">
        <v>35</v>
      </c>
      <c r="E686" s="73" t="s">
        <v>36</v>
      </c>
      <c r="F686" s="215">
        <f>2026.5+26.9-412.6</f>
        <v>1640.8000000000002</v>
      </c>
      <c r="G686" s="215">
        <f>2026.5+26.9-412.6</f>
        <v>1640.8000000000002</v>
      </c>
      <c r="H686" s="62">
        <f t="shared" si="57"/>
        <v>100</v>
      </c>
    </row>
    <row r="687" spans="1:8" ht="15">
      <c r="A687" s="50"/>
      <c r="B687" s="65" t="s">
        <v>52</v>
      </c>
      <c r="C687" s="50"/>
      <c r="D687" s="69"/>
      <c r="E687" s="73" t="s">
        <v>85</v>
      </c>
      <c r="F687" s="215">
        <f>F688+F701</f>
        <v>9785.7</v>
      </c>
      <c r="G687" s="215">
        <f>G688+G701</f>
        <v>9785.7</v>
      </c>
      <c r="H687" s="62">
        <f t="shared" si="57"/>
        <v>100</v>
      </c>
    </row>
    <row r="688" spans="1:8" ht="15">
      <c r="A688" s="50"/>
      <c r="B688" s="65" t="s">
        <v>53</v>
      </c>
      <c r="C688" s="50"/>
      <c r="D688" s="69"/>
      <c r="E688" s="73" t="s">
        <v>54</v>
      </c>
      <c r="F688" s="215">
        <f aca="true" t="shared" si="64" ref="F688:G690">F689</f>
        <v>9264.6</v>
      </c>
      <c r="G688" s="215">
        <f t="shared" si="64"/>
        <v>9264.6</v>
      </c>
      <c r="H688" s="62">
        <f t="shared" si="57"/>
        <v>100</v>
      </c>
    </row>
    <row r="689" spans="1:8" ht="51">
      <c r="A689" s="50"/>
      <c r="B689" s="50"/>
      <c r="C689" s="65" t="s">
        <v>254</v>
      </c>
      <c r="D689" s="69"/>
      <c r="E689" s="68" t="s">
        <v>84</v>
      </c>
      <c r="F689" s="215">
        <f t="shared" si="64"/>
        <v>9264.6</v>
      </c>
      <c r="G689" s="215">
        <f t="shared" si="64"/>
        <v>9264.6</v>
      </c>
      <c r="H689" s="62">
        <f t="shared" si="57"/>
        <v>100</v>
      </c>
    </row>
    <row r="690" spans="1:8" ht="25.5">
      <c r="A690" s="50"/>
      <c r="B690" s="50"/>
      <c r="C690" s="65" t="s">
        <v>255</v>
      </c>
      <c r="D690" s="69"/>
      <c r="E690" s="73" t="s">
        <v>256</v>
      </c>
      <c r="F690" s="215">
        <f t="shared" si="64"/>
        <v>9264.6</v>
      </c>
      <c r="G690" s="215">
        <f t="shared" si="64"/>
        <v>9264.6</v>
      </c>
      <c r="H690" s="62">
        <f t="shared" si="57"/>
        <v>100</v>
      </c>
    </row>
    <row r="691" spans="1:8" ht="25.5">
      <c r="A691" s="50"/>
      <c r="B691" s="50"/>
      <c r="C691" s="65" t="s">
        <v>262</v>
      </c>
      <c r="D691" s="69"/>
      <c r="E691" s="73" t="s">
        <v>263</v>
      </c>
      <c r="F691" s="215">
        <f>F692+F695+F697</f>
        <v>9264.6</v>
      </c>
      <c r="G691" s="215">
        <f>G692+G695+G697</f>
        <v>9264.6</v>
      </c>
      <c r="H691" s="62">
        <f t="shared" si="57"/>
        <v>100</v>
      </c>
    </row>
    <row r="692" spans="1:8" ht="38.25">
      <c r="A692" s="50"/>
      <c r="B692" s="50"/>
      <c r="C692" s="65" t="s">
        <v>264</v>
      </c>
      <c r="D692" s="76"/>
      <c r="E692" s="73" t="s">
        <v>265</v>
      </c>
      <c r="F692" s="215">
        <f>F693+F694</f>
        <v>1727.3</v>
      </c>
      <c r="G692" s="215">
        <f>G693+G694</f>
        <v>1727.3</v>
      </c>
      <c r="H692" s="62">
        <f t="shared" si="57"/>
        <v>100</v>
      </c>
    </row>
    <row r="693" spans="1:8" ht="15">
      <c r="A693" s="50"/>
      <c r="B693" s="50"/>
      <c r="C693" s="65"/>
      <c r="D693" s="75" t="s">
        <v>78</v>
      </c>
      <c r="E693" s="78" t="s">
        <v>79</v>
      </c>
      <c r="F693" s="215">
        <v>800</v>
      </c>
      <c r="G693" s="215">
        <v>800</v>
      </c>
      <c r="H693" s="62">
        <f t="shared" si="57"/>
        <v>100</v>
      </c>
    </row>
    <row r="694" spans="1:8" ht="38.25">
      <c r="A694" s="50"/>
      <c r="B694" s="50"/>
      <c r="C694" s="65"/>
      <c r="D694" s="69" t="s">
        <v>35</v>
      </c>
      <c r="E694" s="73" t="s">
        <v>36</v>
      </c>
      <c r="F694" s="215">
        <f>1200-272.7</f>
        <v>927.3</v>
      </c>
      <c r="G694" s="215">
        <f>1200-272.7</f>
        <v>927.3</v>
      </c>
      <c r="H694" s="62">
        <f t="shared" si="57"/>
        <v>100</v>
      </c>
    </row>
    <row r="695" spans="1:8" ht="63.75">
      <c r="A695" s="50"/>
      <c r="B695" s="50"/>
      <c r="C695" s="65" t="s">
        <v>266</v>
      </c>
      <c r="D695" s="76"/>
      <c r="E695" s="73" t="s">
        <v>267</v>
      </c>
      <c r="F695" s="215">
        <f>F696</f>
        <v>174.8</v>
      </c>
      <c r="G695" s="215">
        <f>G696</f>
        <v>174.8</v>
      </c>
      <c r="H695" s="62">
        <f t="shared" si="57"/>
        <v>100</v>
      </c>
    </row>
    <row r="696" spans="1:8" ht="38.25">
      <c r="A696" s="50"/>
      <c r="B696" s="50"/>
      <c r="C696" s="65"/>
      <c r="D696" s="69" t="s">
        <v>35</v>
      </c>
      <c r="E696" s="73" t="s">
        <v>36</v>
      </c>
      <c r="F696" s="215">
        <f>275-100.2</f>
        <v>174.8</v>
      </c>
      <c r="G696" s="215">
        <f>275-100.2</f>
        <v>174.8</v>
      </c>
      <c r="H696" s="62">
        <f t="shared" si="57"/>
        <v>100</v>
      </c>
    </row>
    <row r="697" spans="1:8" ht="51">
      <c r="A697" s="50"/>
      <c r="B697" s="50"/>
      <c r="C697" s="65" t="s">
        <v>268</v>
      </c>
      <c r="D697" s="65"/>
      <c r="E697" s="66" t="s">
        <v>201</v>
      </c>
      <c r="F697" s="215">
        <f>F698+F699+F700</f>
        <v>7362.500000000001</v>
      </c>
      <c r="G697" s="215">
        <f>G698+G699+G700</f>
        <v>7362.500000000001</v>
      </c>
      <c r="H697" s="62">
        <f aca="true" t="shared" si="65" ref="H697:H760">G697/F697*100</f>
        <v>100</v>
      </c>
    </row>
    <row r="698" spans="1:8" ht="78.75" customHeight="1">
      <c r="A698" s="50"/>
      <c r="B698" s="50"/>
      <c r="C698" s="65"/>
      <c r="D698" s="65" t="s">
        <v>4</v>
      </c>
      <c r="E698" s="66" t="s">
        <v>114</v>
      </c>
      <c r="F698" s="215">
        <f>10476.2-4365.7</f>
        <v>6110.500000000001</v>
      </c>
      <c r="G698" s="215">
        <f>10476.2-4365.7</f>
        <v>6110.500000000001</v>
      </c>
      <c r="H698" s="62">
        <f t="shared" si="65"/>
        <v>100</v>
      </c>
    </row>
    <row r="699" spans="1:8" ht="38.25" customHeight="1">
      <c r="A699" s="50"/>
      <c r="B699" s="50"/>
      <c r="C699" s="65"/>
      <c r="D699" s="69" t="s">
        <v>7</v>
      </c>
      <c r="E699" s="66" t="s">
        <v>549</v>
      </c>
      <c r="F699" s="215">
        <f>2207.7-957.4</f>
        <v>1250.2999999999997</v>
      </c>
      <c r="G699" s="215">
        <f>2207.7-957.4</f>
        <v>1250.2999999999997</v>
      </c>
      <c r="H699" s="62">
        <f t="shared" si="65"/>
        <v>100</v>
      </c>
    </row>
    <row r="700" spans="1:8" ht="15">
      <c r="A700" s="50"/>
      <c r="B700" s="76"/>
      <c r="C700" s="65"/>
      <c r="D700" s="65" t="s">
        <v>8</v>
      </c>
      <c r="E700" s="66" t="s">
        <v>9</v>
      </c>
      <c r="F700" s="215">
        <f>20.1-18.4</f>
        <v>1.7000000000000028</v>
      </c>
      <c r="G700" s="215">
        <f>20.1-18.4</f>
        <v>1.7000000000000028</v>
      </c>
      <c r="H700" s="62">
        <f t="shared" si="65"/>
        <v>100</v>
      </c>
    </row>
    <row r="701" spans="1:8" ht="25.5">
      <c r="A701" s="50"/>
      <c r="B701" s="65" t="s">
        <v>55</v>
      </c>
      <c r="C701" s="65"/>
      <c r="D701" s="65"/>
      <c r="E701" s="66" t="s">
        <v>56</v>
      </c>
      <c r="F701" s="215">
        <f aca="true" t="shared" si="66" ref="F701:G705">F702</f>
        <v>521.0999999999999</v>
      </c>
      <c r="G701" s="215">
        <f t="shared" si="66"/>
        <v>521.0999999999999</v>
      </c>
      <c r="H701" s="62">
        <f t="shared" si="65"/>
        <v>100</v>
      </c>
    </row>
    <row r="702" spans="1:8" ht="51">
      <c r="A702" s="50"/>
      <c r="B702" s="65"/>
      <c r="C702" s="65" t="s">
        <v>254</v>
      </c>
      <c r="D702" s="69"/>
      <c r="E702" s="68" t="s">
        <v>84</v>
      </c>
      <c r="F702" s="215">
        <f t="shared" si="66"/>
        <v>521.0999999999999</v>
      </c>
      <c r="G702" s="215">
        <f t="shared" si="66"/>
        <v>521.0999999999999</v>
      </c>
      <c r="H702" s="62">
        <f t="shared" si="65"/>
        <v>100</v>
      </c>
    </row>
    <row r="703" spans="1:8" ht="25.5">
      <c r="A703" s="50"/>
      <c r="B703" s="65"/>
      <c r="C703" s="65" t="s">
        <v>255</v>
      </c>
      <c r="D703" s="69"/>
      <c r="E703" s="73" t="s">
        <v>256</v>
      </c>
      <c r="F703" s="215">
        <f t="shared" si="66"/>
        <v>521.0999999999999</v>
      </c>
      <c r="G703" s="215">
        <f t="shared" si="66"/>
        <v>521.0999999999999</v>
      </c>
      <c r="H703" s="62">
        <f t="shared" si="65"/>
        <v>100</v>
      </c>
    </row>
    <row r="704" spans="1:8" ht="25.5">
      <c r="A704" s="50"/>
      <c r="B704" s="65"/>
      <c r="C704" s="65" t="s">
        <v>262</v>
      </c>
      <c r="D704" s="69"/>
      <c r="E704" s="73" t="s">
        <v>263</v>
      </c>
      <c r="F704" s="215">
        <f t="shared" si="66"/>
        <v>521.0999999999999</v>
      </c>
      <c r="G704" s="215">
        <f t="shared" si="66"/>
        <v>521.0999999999999</v>
      </c>
      <c r="H704" s="62">
        <f t="shared" si="65"/>
        <v>100</v>
      </c>
    </row>
    <row r="705" spans="1:8" ht="51">
      <c r="A705" s="50"/>
      <c r="B705" s="65"/>
      <c r="C705" s="65" t="s">
        <v>268</v>
      </c>
      <c r="D705" s="65"/>
      <c r="E705" s="66" t="s">
        <v>201</v>
      </c>
      <c r="F705" s="215">
        <f t="shared" si="66"/>
        <v>521.0999999999999</v>
      </c>
      <c r="G705" s="215">
        <f t="shared" si="66"/>
        <v>521.0999999999999</v>
      </c>
      <c r="H705" s="62">
        <f t="shared" si="65"/>
        <v>100</v>
      </c>
    </row>
    <row r="706" spans="1:8" ht="38.25">
      <c r="A706" s="50"/>
      <c r="B706" s="65"/>
      <c r="C706" s="65"/>
      <c r="D706" s="69" t="s">
        <v>35</v>
      </c>
      <c r="E706" s="73" t="s">
        <v>36</v>
      </c>
      <c r="F706" s="215">
        <f>649.9+206.7-335.5</f>
        <v>521.0999999999999</v>
      </c>
      <c r="G706" s="215">
        <f>649.9+206.7-335.5</f>
        <v>521.0999999999999</v>
      </c>
      <c r="H706" s="62">
        <f t="shared" si="65"/>
        <v>100</v>
      </c>
    </row>
    <row r="707" spans="1:8" ht="15">
      <c r="A707" s="50"/>
      <c r="B707" s="76" t="s">
        <v>57</v>
      </c>
      <c r="C707" s="50"/>
      <c r="D707" s="65"/>
      <c r="E707" s="72" t="s">
        <v>73</v>
      </c>
      <c r="F707" s="215">
        <f>F708+F714</f>
        <v>1864.5</v>
      </c>
      <c r="G707" s="215">
        <f>G708+G714</f>
        <v>1864.5</v>
      </c>
      <c r="H707" s="62">
        <f t="shared" si="65"/>
        <v>100</v>
      </c>
    </row>
    <row r="708" spans="1:8" ht="15">
      <c r="A708" s="50"/>
      <c r="B708" s="76" t="s">
        <v>58</v>
      </c>
      <c r="C708" s="50"/>
      <c r="D708" s="50"/>
      <c r="E708" s="72" t="s">
        <v>59</v>
      </c>
      <c r="F708" s="215">
        <f aca="true" t="shared" si="67" ref="F708:G712">F709</f>
        <v>1313.9</v>
      </c>
      <c r="G708" s="215">
        <f t="shared" si="67"/>
        <v>1313.9</v>
      </c>
      <c r="H708" s="62">
        <f t="shared" si="65"/>
        <v>100</v>
      </c>
    </row>
    <row r="709" spans="1:8" ht="51">
      <c r="A709" s="50"/>
      <c r="B709" s="76"/>
      <c r="C709" s="65" t="s">
        <v>169</v>
      </c>
      <c r="D709" s="49"/>
      <c r="E709" s="68" t="s">
        <v>68</v>
      </c>
      <c r="F709" s="215">
        <f t="shared" si="67"/>
        <v>1313.9</v>
      </c>
      <c r="G709" s="215">
        <f t="shared" si="67"/>
        <v>1313.9</v>
      </c>
      <c r="H709" s="62">
        <f t="shared" si="65"/>
        <v>100</v>
      </c>
    </row>
    <row r="710" spans="1:8" ht="51">
      <c r="A710" s="50"/>
      <c r="B710" s="76"/>
      <c r="C710" s="65" t="s">
        <v>170</v>
      </c>
      <c r="D710" s="65"/>
      <c r="E710" s="66" t="s">
        <v>690</v>
      </c>
      <c r="F710" s="215">
        <f t="shared" si="67"/>
        <v>1313.9</v>
      </c>
      <c r="G710" s="215">
        <f t="shared" si="67"/>
        <v>1313.9</v>
      </c>
      <c r="H710" s="62">
        <f t="shared" si="65"/>
        <v>100</v>
      </c>
    </row>
    <row r="711" spans="1:8" ht="38.25">
      <c r="A711" s="50"/>
      <c r="B711" s="76"/>
      <c r="C711" s="65" t="s">
        <v>270</v>
      </c>
      <c r="D711" s="65"/>
      <c r="E711" s="66" t="s">
        <v>271</v>
      </c>
      <c r="F711" s="215">
        <f t="shared" si="67"/>
        <v>1313.9</v>
      </c>
      <c r="G711" s="215">
        <f t="shared" si="67"/>
        <v>1313.9</v>
      </c>
      <c r="H711" s="62">
        <f t="shared" si="65"/>
        <v>100</v>
      </c>
    </row>
    <row r="712" spans="1:8" ht="76.5">
      <c r="A712" s="50"/>
      <c r="B712" s="76"/>
      <c r="C712" s="65" t="s">
        <v>272</v>
      </c>
      <c r="D712" s="65"/>
      <c r="E712" s="66" t="s">
        <v>60</v>
      </c>
      <c r="F712" s="215">
        <f t="shared" si="67"/>
        <v>1313.9</v>
      </c>
      <c r="G712" s="215">
        <f t="shared" si="67"/>
        <v>1313.9</v>
      </c>
      <c r="H712" s="62">
        <f t="shared" si="65"/>
        <v>100</v>
      </c>
    </row>
    <row r="713" spans="1:8" ht="25.5">
      <c r="A713" s="50"/>
      <c r="B713" s="76"/>
      <c r="C713" s="50"/>
      <c r="D713" s="76" t="s">
        <v>14</v>
      </c>
      <c r="E713" s="73" t="s">
        <v>15</v>
      </c>
      <c r="F713" s="215">
        <f>2015.7-64.8-637</f>
        <v>1313.9</v>
      </c>
      <c r="G713" s="215">
        <f>2015.7-64.8-637</f>
        <v>1313.9</v>
      </c>
      <c r="H713" s="62">
        <f t="shared" si="65"/>
        <v>100</v>
      </c>
    </row>
    <row r="714" spans="1:8" ht="15">
      <c r="A714" s="50"/>
      <c r="B714" s="76">
        <v>1003</v>
      </c>
      <c r="C714" s="50"/>
      <c r="D714" s="50"/>
      <c r="E714" s="72" t="s">
        <v>61</v>
      </c>
      <c r="F714" s="215">
        <f>F715+F721</f>
        <v>550.6</v>
      </c>
      <c r="G714" s="215">
        <f>G715+G721</f>
        <v>550.6</v>
      </c>
      <c r="H714" s="62">
        <f t="shared" si="65"/>
        <v>100</v>
      </c>
    </row>
    <row r="715" spans="1:8" ht="51">
      <c r="A715" s="50"/>
      <c r="B715" s="76"/>
      <c r="C715" s="65" t="s">
        <v>254</v>
      </c>
      <c r="D715" s="69"/>
      <c r="E715" s="68" t="s">
        <v>84</v>
      </c>
      <c r="F715" s="215">
        <f aca="true" t="shared" si="68" ref="F715:G717">F716</f>
        <v>111.7</v>
      </c>
      <c r="G715" s="215">
        <f t="shared" si="68"/>
        <v>111.7</v>
      </c>
      <c r="H715" s="62">
        <f t="shared" si="65"/>
        <v>100</v>
      </c>
    </row>
    <row r="716" spans="1:8" ht="25.5">
      <c r="A716" s="50"/>
      <c r="B716" s="76"/>
      <c r="C716" s="65" t="s">
        <v>255</v>
      </c>
      <c r="D716" s="69"/>
      <c r="E716" s="73" t="s">
        <v>256</v>
      </c>
      <c r="F716" s="215">
        <f t="shared" si="68"/>
        <v>111.7</v>
      </c>
      <c r="G716" s="215">
        <f t="shared" si="68"/>
        <v>111.7</v>
      </c>
      <c r="H716" s="62">
        <f t="shared" si="65"/>
        <v>100</v>
      </c>
    </row>
    <row r="717" spans="1:8" ht="25.5">
      <c r="A717" s="50"/>
      <c r="B717" s="76"/>
      <c r="C717" s="65" t="s">
        <v>262</v>
      </c>
      <c r="D717" s="69"/>
      <c r="E717" s="73" t="s">
        <v>263</v>
      </c>
      <c r="F717" s="215">
        <f t="shared" si="68"/>
        <v>111.7</v>
      </c>
      <c r="G717" s="215">
        <f t="shared" si="68"/>
        <v>111.7</v>
      </c>
      <c r="H717" s="62">
        <f t="shared" si="65"/>
        <v>100</v>
      </c>
    </row>
    <row r="718" spans="1:8" ht="115.5" customHeight="1">
      <c r="A718" s="50"/>
      <c r="B718" s="76"/>
      <c r="C718" s="65" t="s">
        <v>613</v>
      </c>
      <c r="D718" s="65"/>
      <c r="E718" s="73" t="s">
        <v>614</v>
      </c>
      <c r="F718" s="215">
        <f>F719+F720</f>
        <v>111.7</v>
      </c>
      <c r="G718" s="215">
        <f>G719+G720</f>
        <v>111.7</v>
      </c>
      <c r="H718" s="62">
        <f t="shared" si="65"/>
        <v>100</v>
      </c>
    </row>
    <row r="719" spans="1:8" ht="77.25" customHeight="1">
      <c r="A719" s="50"/>
      <c r="B719" s="76"/>
      <c r="C719" s="50"/>
      <c r="D719" s="65" t="s">
        <v>4</v>
      </c>
      <c r="E719" s="66" t="s">
        <v>114</v>
      </c>
      <c r="F719" s="215">
        <f>134-38.8</f>
        <v>95.2</v>
      </c>
      <c r="G719" s="215">
        <f>134-38.8</f>
        <v>95.2</v>
      </c>
      <c r="H719" s="62">
        <f t="shared" si="65"/>
        <v>100</v>
      </c>
    </row>
    <row r="720" spans="1:8" ht="25.5">
      <c r="A720" s="50"/>
      <c r="B720" s="76"/>
      <c r="C720" s="65"/>
      <c r="D720" s="69" t="s">
        <v>14</v>
      </c>
      <c r="E720" s="73" t="s">
        <v>15</v>
      </c>
      <c r="F720" s="215">
        <f>21.6-5.1</f>
        <v>16.5</v>
      </c>
      <c r="G720" s="215">
        <f>21.6-5.1</f>
        <v>16.5</v>
      </c>
      <c r="H720" s="62">
        <f t="shared" si="65"/>
        <v>100</v>
      </c>
    </row>
    <row r="721" spans="1:8" ht="64.5" customHeight="1">
      <c r="A721" s="50"/>
      <c r="B721" s="76"/>
      <c r="C721" s="65" t="s">
        <v>615</v>
      </c>
      <c r="D721" s="49"/>
      <c r="E721" s="66" t="s">
        <v>616</v>
      </c>
      <c r="F721" s="215">
        <f aca="true" t="shared" si="69" ref="F721:G724">F722</f>
        <v>438.9</v>
      </c>
      <c r="G721" s="215">
        <f t="shared" si="69"/>
        <v>438.9</v>
      </c>
      <c r="H721" s="62">
        <f t="shared" si="65"/>
        <v>100</v>
      </c>
    </row>
    <row r="722" spans="1:8" ht="25.5">
      <c r="A722" s="50"/>
      <c r="B722" s="76"/>
      <c r="C722" s="75" t="s">
        <v>617</v>
      </c>
      <c r="D722" s="77"/>
      <c r="E722" s="66" t="s">
        <v>618</v>
      </c>
      <c r="F722" s="215">
        <f t="shared" si="69"/>
        <v>438.9</v>
      </c>
      <c r="G722" s="215">
        <f t="shared" si="69"/>
        <v>438.9</v>
      </c>
      <c r="H722" s="62">
        <f t="shared" si="65"/>
        <v>100</v>
      </c>
    </row>
    <row r="723" spans="1:8" ht="65.25" customHeight="1">
      <c r="A723" s="50"/>
      <c r="B723" s="76"/>
      <c r="C723" s="75" t="s">
        <v>619</v>
      </c>
      <c r="D723" s="70"/>
      <c r="E723" s="73" t="s">
        <v>620</v>
      </c>
      <c r="F723" s="215">
        <f t="shared" si="69"/>
        <v>438.9</v>
      </c>
      <c r="G723" s="215">
        <f t="shared" si="69"/>
        <v>438.9</v>
      </c>
      <c r="H723" s="62">
        <f t="shared" si="65"/>
        <v>100</v>
      </c>
    </row>
    <row r="724" spans="1:8" ht="15">
      <c r="A724" s="50"/>
      <c r="B724" s="76"/>
      <c r="C724" s="75" t="s">
        <v>621</v>
      </c>
      <c r="D724" s="77"/>
      <c r="E724" s="80" t="s">
        <v>622</v>
      </c>
      <c r="F724" s="215">
        <f t="shared" si="69"/>
        <v>438.9</v>
      </c>
      <c r="G724" s="215">
        <f t="shared" si="69"/>
        <v>438.9</v>
      </c>
      <c r="H724" s="62">
        <f t="shared" si="65"/>
        <v>100</v>
      </c>
    </row>
    <row r="725" spans="1:8" ht="25.5">
      <c r="A725" s="50"/>
      <c r="B725" s="76"/>
      <c r="C725" s="75"/>
      <c r="D725" s="70" t="s">
        <v>14</v>
      </c>
      <c r="E725" s="73" t="s">
        <v>15</v>
      </c>
      <c r="F725" s="215">
        <f>591.9-153</f>
        <v>438.9</v>
      </c>
      <c r="G725" s="215">
        <f>591.9-153</f>
        <v>438.9</v>
      </c>
      <c r="H725" s="62">
        <f t="shared" si="65"/>
        <v>100</v>
      </c>
    </row>
    <row r="726" spans="1:8" ht="15">
      <c r="A726" s="50"/>
      <c r="B726" s="65" t="s">
        <v>63</v>
      </c>
      <c r="C726" s="65"/>
      <c r="D726" s="69"/>
      <c r="E726" s="73" t="s">
        <v>86</v>
      </c>
      <c r="F726" s="215">
        <f aca="true" t="shared" si="70" ref="F726:G729">F727</f>
        <v>1725.8</v>
      </c>
      <c r="G726" s="215">
        <f t="shared" si="70"/>
        <v>1725.8</v>
      </c>
      <c r="H726" s="62">
        <f t="shared" si="65"/>
        <v>100</v>
      </c>
    </row>
    <row r="727" spans="1:8" ht="15">
      <c r="A727" s="50"/>
      <c r="B727" s="65" t="s">
        <v>64</v>
      </c>
      <c r="C727" s="65"/>
      <c r="D727" s="69"/>
      <c r="E727" s="73" t="s">
        <v>87</v>
      </c>
      <c r="F727" s="215">
        <f t="shared" si="70"/>
        <v>1725.8</v>
      </c>
      <c r="G727" s="215">
        <f t="shared" si="70"/>
        <v>1725.8</v>
      </c>
      <c r="H727" s="62">
        <f t="shared" si="65"/>
        <v>100</v>
      </c>
    </row>
    <row r="728" spans="1:8" ht="51">
      <c r="A728" s="50"/>
      <c r="B728" s="65"/>
      <c r="C728" s="65" t="s">
        <v>254</v>
      </c>
      <c r="D728" s="69"/>
      <c r="E728" s="68" t="s">
        <v>84</v>
      </c>
      <c r="F728" s="215">
        <f t="shared" si="70"/>
        <v>1725.8</v>
      </c>
      <c r="G728" s="215">
        <f t="shared" si="70"/>
        <v>1725.8</v>
      </c>
      <c r="H728" s="62">
        <f t="shared" si="65"/>
        <v>100</v>
      </c>
    </row>
    <row r="729" spans="1:8" ht="25.5">
      <c r="A729" s="50"/>
      <c r="B729" s="65"/>
      <c r="C729" s="83" t="s">
        <v>275</v>
      </c>
      <c r="D729" s="69"/>
      <c r="E729" s="73" t="s">
        <v>276</v>
      </c>
      <c r="F729" s="215">
        <f t="shared" si="70"/>
        <v>1725.8</v>
      </c>
      <c r="G729" s="215">
        <f t="shared" si="70"/>
        <v>1725.8</v>
      </c>
      <c r="H729" s="62">
        <f t="shared" si="65"/>
        <v>100</v>
      </c>
    </row>
    <row r="730" spans="1:8" ht="26.25" customHeight="1">
      <c r="A730" s="50"/>
      <c r="B730" s="65"/>
      <c r="C730" s="65" t="s">
        <v>277</v>
      </c>
      <c r="D730" s="50"/>
      <c r="E730" s="66" t="s">
        <v>278</v>
      </c>
      <c r="F730" s="215">
        <f>F731+F733</f>
        <v>1725.8</v>
      </c>
      <c r="G730" s="215">
        <f>G731+G733</f>
        <v>1725.8</v>
      </c>
      <c r="H730" s="62">
        <f t="shared" si="65"/>
        <v>100</v>
      </c>
    </row>
    <row r="731" spans="1:8" ht="51">
      <c r="A731" s="50"/>
      <c r="B731" s="65"/>
      <c r="C731" s="65" t="s">
        <v>280</v>
      </c>
      <c r="D731" s="65"/>
      <c r="E731" s="66" t="s">
        <v>281</v>
      </c>
      <c r="F731" s="215">
        <f>F732</f>
        <v>430.5</v>
      </c>
      <c r="G731" s="215">
        <f>G732</f>
        <v>430.5</v>
      </c>
      <c r="H731" s="62">
        <f t="shared" si="65"/>
        <v>100</v>
      </c>
    </row>
    <row r="732" spans="1:8" ht="38.25">
      <c r="A732" s="50"/>
      <c r="B732" s="65"/>
      <c r="C732" s="65"/>
      <c r="D732" s="69" t="s">
        <v>35</v>
      </c>
      <c r="E732" s="73" t="s">
        <v>36</v>
      </c>
      <c r="F732" s="215">
        <f>732-301.5</f>
        <v>430.5</v>
      </c>
      <c r="G732" s="215">
        <f>732-301.5</f>
        <v>430.5</v>
      </c>
      <c r="H732" s="62">
        <f t="shared" si="65"/>
        <v>100</v>
      </c>
    </row>
    <row r="733" spans="1:8" ht="51">
      <c r="A733" s="50"/>
      <c r="B733" s="65"/>
      <c r="C733" s="65" t="s">
        <v>279</v>
      </c>
      <c r="D733" s="65"/>
      <c r="E733" s="66" t="s">
        <v>201</v>
      </c>
      <c r="F733" s="215">
        <f>F734</f>
        <v>1295.3</v>
      </c>
      <c r="G733" s="215">
        <f>G734</f>
        <v>1295.3</v>
      </c>
      <c r="H733" s="62">
        <f t="shared" si="65"/>
        <v>100</v>
      </c>
    </row>
    <row r="734" spans="1:8" ht="38.25">
      <c r="A734" s="50"/>
      <c r="B734" s="65"/>
      <c r="C734" s="65"/>
      <c r="D734" s="69" t="s">
        <v>35</v>
      </c>
      <c r="E734" s="73" t="s">
        <v>36</v>
      </c>
      <c r="F734" s="215">
        <f>1616.3+22.8-343.8</f>
        <v>1295.3</v>
      </c>
      <c r="G734" s="215">
        <f>1616.3+22.8-343.8</f>
        <v>1295.3</v>
      </c>
      <c r="H734" s="62">
        <f t="shared" si="65"/>
        <v>100</v>
      </c>
    </row>
    <row r="735" spans="1:8" ht="27.75" customHeight="1">
      <c r="A735" s="63">
        <v>710</v>
      </c>
      <c r="B735" s="50"/>
      <c r="C735" s="50"/>
      <c r="D735" s="76"/>
      <c r="E735" s="64" t="s">
        <v>75</v>
      </c>
      <c r="F735" s="216">
        <f>F736+F778+F785+F798+F805+F772</f>
        <v>75424.8</v>
      </c>
      <c r="G735" s="216">
        <f>G736+G778+G785+G798+G805+G772</f>
        <v>75424.8</v>
      </c>
      <c r="H735" s="56">
        <f t="shared" si="65"/>
        <v>100</v>
      </c>
    </row>
    <row r="736" spans="1:8" ht="15">
      <c r="A736" s="50"/>
      <c r="B736" s="65" t="s">
        <v>0</v>
      </c>
      <c r="C736" s="65"/>
      <c r="D736" s="65"/>
      <c r="E736" s="66" t="s">
        <v>168</v>
      </c>
      <c r="F736" s="215">
        <f>F737+F742+F747</f>
        <v>9091.6</v>
      </c>
      <c r="G736" s="215">
        <f>G737+G742+G747</f>
        <v>9091.6</v>
      </c>
      <c r="H736" s="62">
        <f t="shared" si="65"/>
        <v>100</v>
      </c>
    </row>
    <row r="737" spans="1:8" ht="51">
      <c r="A737" s="50"/>
      <c r="B737" s="65" t="s">
        <v>1</v>
      </c>
      <c r="C737" s="50"/>
      <c r="D737" s="50"/>
      <c r="E737" s="67" t="s">
        <v>2</v>
      </c>
      <c r="F737" s="215">
        <f aca="true" t="shared" si="71" ref="F737:G740">F738</f>
        <v>366.80000000000007</v>
      </c>
      <c r="G737" s="215">
        <f t="shared" si="71"/>
        <v>366.80000000000007</v>
      </c>
      <c r="H737" s="62">
        <f t="shared" si="65"/>
        <v>100</v>
      </c>
    </row>
    <row r="738" spans="1:8" ht="53.25" customHeight="1">
      <c r="A738" s="50"/>
      <c r="B738" s="50"/>
      <c r="C738" s="65" t="s">
        <v>282</v>
      </c>
      <c r="D738" s="49"/>
      <c r="E738" s="68" t="s">
        <v>76</v>
      </c>
      <c r="F738" s="215">
        <f t="shared" si="71"/>
        <v>366.80000000000007</v>
      </c>
      <c r="G738" s="215">
        <f t="shared" si="71"/>
        <v>366.80000000000007</v>
      </c>
      <c r="H738" s="62">
        <f t="shared" si="65"/>
        <v>100</v>
      </c>
    </row>
    <row r="739" spans="1:8" ht="54.75" customHeight="1">
      <c r="A739" s="50"/>
      <c r="B739" s="50"/>
      <c r="C739" s="65" t="s">
        <v>296</v>
      </c>
      <c r="D739" s="50"/>
      <c r="E739" s="66" t="s">
        <v>297</v>
      </c>
      <c r="F739" s="215">
        <f t="shared" si="71"/>
        <v>366.80000000000007</v>
      </c>
      <c r="G739" s="215">
        <f t="shared" si="71"/>
        <v>366.80000000000007</v>
      </c>
      <c r="H739" s="62">
        <f t="shared" si="65"/>
        <v>100</v>
      </c>
    </row>
    <row r="740" spans="1:8" ht="54" customHeight="1">
      <c r="A740" s="50"/>
      <c r="B740" s="50"/>
      <c r="C740" s="65" t="s">
        <v>628</v>
      </c>
      <c r="D740" s="50"/>
      <c r="E740" s="66" t="s">
        <v>298</v>
      </c>
      <c r="F740" s="215">
        <f t="shared" si="71"/>
        <v>366.80000000000007</v>
      </c>
      <c r="G740" s="215">
        <f t="shared" si="71"/>
        <v>366.80000000000007</v>
      </c>
      <c r="H740" s="62">
        <f t="shared" si="65"/>
        <v>100</v>
      </c>
    </row>
    <row r="741" spans="1:8" ht="15">
      <c r="A741" s="50"/>
      <c r="B741" s="50"/>
      <c r="C741" s="65"/>
      <c r="D741" s="65" t="s">
        <v>78</v>
      </c>
      <c r="E741" s="66" t="s">
        <v>79</v>
      </c>
      <c r="F741" s="215">
        <f>134.8+145.3+124.1-37.4</f>
        <v>366.80000000000007</v>
      </c>
      <c r="G741" s="215">
        <f>134.8+145.3+124.1-37.4</f>
        <v>366.80000000000007</v>
      </c>
      <c r="H741" s="62">
        <f t="shared" si="65"/>
        <v>100</v>
      </c>
    </row>
    <row r="742" spans="1:8" ht="76.5">
      <c r="A742" s="50"/>
      <c r="B742" s="65" t="s">
        <v>12</v>
      </c>
      <c r="C742" s="50"/>
      <c r="D742" s="50"/>
      <c r="E742" s="67" t="s">
        <v>13</v>
      </c>
      <c r="F742" s="215">
        <f aca="true" t="shared" si="72" ref="F742:G744">F743</f>
        <v>1362.1</v>
      </c>
      <c r="G742" s="215">
        <f t="shared" si="72"/>
        <v>1362.1</v>
      </c>
      <c r="H742" s="62">
        <f t="shared" si="65"/>
        <v>100</v>
      </c>
    </row>
    <row r="743" spans="1:8" ht="51.75" customHeight="1">
      <c r="A743" s="50"/>
      <c r="B743" s="50"/>
      <c r="C743" s="65" t="s">
        <v>282</v>
      </c>
      <c r="D743" s="49"/>
      <c r="E743" s="68" t="s">
        <v>76</v>
      </c>
      <c r="F743" s="215">
        <f t="shared" si="72"/>
        <v>1362.1</v>
      </c>
      <c r="G743" s="215">
        <f t="shared" si="72"/>
        <v>1362.1</v>
      </c>
      <c r="H743" s="62">
        <f t="shared" si="65"/>
        <v>100</v>
      </c>
    </row>
    <row r="744" spans="1:8" ht="52.5" customHeight="1">
      <c r="A744" s="50"/>
      <c r="B744" s="50"/>
      <c r="C744" s="65" t="s">
        <v>296</v>
      </c>
      <c r="D744" s="50"/>
      <c r="E744" s="66" t="s">
        <v>297</v>
      </c>
      <c r="F744" s="215">
        <f t="shared" si="72"/>
        <v>1362.1</v>
      </c>
      <c r="G744" s="215">
        <f t="shared" si="72"/>
        <v>1362.1</v>
      </c>
      <c r="H744" s="62">
        <f t="shared" si="65"/>
        <v>100</v>
      </c>
    </row>
    <row r="745" spans="1:8" ht="52.5" customHeight="1">
      <c r="A745" s="50"/>
      <c r="B745" s="50"/>
      <c r="C745" s="65" t="s">
        <v>628</v>
      </c>
      <c r="D745" s="50"/>
      <c r="E745" s="66" t="s">
        <v>298</v>
      </c>
      <c r="F745" s="215">
        <v>1362.1</v>
      </c>
      <c r="G745" s="215">
        <v>1362.1</v>
      </c>
      <c r="H745" s="62">
        <f t="shared" si="65"/>
        <v>100</v>
      </c>
    </row>
    <row r="746" spans="1:8" ht="15">
      <c r="A746" s="50"/>
      <c r="B746" s="50"/>
      <c r="C746" s="65"/>
      <c r="D746" s="65" t="s">
        <v>78</v>
      </c>
      <c r="E746" s="66" t="s">
        <v>79</v>
      </c>
      <c r="F746" s="215">
        <f>496.3+343.7+289.4+202.6+30</f>
        <v>1362</v>
      </c>
      <c r="G746" s="215">
        <f>496.3+343.7+289.4+202.6+30</f>
        <v>1362</v>
      </c>
      <c r="H746" s="62">
        <f t="shared" si="65"/>
        <v>100</v>
      </c>
    </row>
    <row r="747" spans="1:8" ht="51">
      <c r="A747" s="50"/>
      <c r="B747" s="65" t="s">
        <v>17</v>
      </c>
      <c r="C747" s="50"/>
      <c r="D747" s="76"/>
      <c r="E747" s="73" t="s">
        <v>18</v>
      </c>
      <c r="F747" s="215">
        <f>F748+F762</f>
        <v>7362.700000000001</v>
      </c>
      <c r="G747" s="215">
        <f>G748+G762</f>
        <v>7362.700000000001</v>
      </c>
      <c r="H747" s="62">
        <f t="shared" si="65"/>
        <v>100</v>
      </c>
    </row>
    <row r="748" spans="1:8" ht="51">
      <c r="A748" s="50"/>
      <c r="B748" s="65"/>
      <c r="C748" s="65" t="s">
        <v>202</v>
      </c>
      <c r="D748" s="49"/>
      <c r="E748" s="68" t="s">
        <v>543</v>
      </c>
      <c r="F748" s="215">
        <f>F749</f>
        <v>387.90000000000003</v>
      </c>
      <c r="G748" s="215">
        <f>G749</f>
        <v>387.90000000000003</v>
      </c>
      <c r="H748" s="62">
        <f t="shared" si="65"/>
        <v>100</v>
      </c>
    </row>
    <row r="749" spans="1:8" ht="25.5">
      <c r="A749" s="50"/>
      <c r="B749" s="65"/>
      <c r="C749" s="65" t="s">
        <v>210</v>
      </c>
      <c r="D749" s="65"/>
      <c r="E749" s="66" t="s">
        <v>544</v>
      </c>
      <c r="F749" s="215">
        <f>F750+F759</f>
        <v>387.90000000000003</v>
      </c>
      <c r="G749" s="215">
        <f>G750+G759</f>
        <v>387.90000000000003</v>
      </c>
      <c r="H749" s="62">
        <f t="shared" si="65"/>
        <v>100</v>
      </c>
    </row>
    <row r="750" spans="1:8" ht="38.25">
      <c r="A750" s="50"/>
      <c r="B750" s="65"/>
      <c r="C750" s="65" t="s">
        <v>545</v>
      </c>
      <c r="D750" s="69"/>
      <c r="E750" s="73" t="s">
        <v>546</v>
      </c>
      <c r="F750" s="215">
        <f>F751+F753+F755+F757</f>
        <v>334.20000000000005</v>
      </c>
      <c r="G750" s="215">
        <f>G751+G753+G755+G757</f>
        <v>334.20000000000005</v>
      </c>
      <c r="H750" s="62">
        <f t="shared" si="65"/>
        <v>100</v>
      </c>
    </row>
    <row r="751" spans="1:8" ht="27.75" customHeight="1">
      <c r="A751" s="50"/>
      <c r="B751" s="65"/>
      <c r="C751" s="65" t="s">
        <v>558</v>
      </c>
      <c r="D751" s="49"/>
      <c r="E751" s="68" t="s">
        <v>559</v>
      </c>
      <c r="F751" s="215">
        <f>F752</f>
        <v>50.8</v>
      </c>
      <c r="G751" s="215">
        <f>G752</f>
        <v>50.8</v>
      </c>
      <c r="H751" s="62">
        <f t="shared" si="65"/>
        <v>100</v>
      </c>
    </row>
    <row r="752" spans="1:8" ht="42" customHeight="1">
      <c r="A752" s="50"/>
      <c r="B752" s="65"/>
      <c r="C752" s="65"/>
      <c r="D752" s="69" t="s">
        <v>7</v>
      </c>
      <c r="E752" s="66" t="s">
        <v>549</v>
      </c>
      <c r="F752" s="215">
        <f>60-9.2</f>
        <v>50.8</v>
      </c>
      <c r="G752" s="215">
        <f>60-9.2</f>
        <v>50.8</v>
      </c>
      <c r="H752" s="62">
        <f t="shared" si="65"/>
        <v>100</v>
      </c>
    </row>
    <row r="753" spans="1:8" ht="38.25">
      <c r="A753" s="50"/>
      <c r="B753" s="65"/>
      <c r="C753" s="65" t="s">
        <v>547</v>
      </c>
      <c r="D753" s="65"/>
      <c r="E753" s="66" t="s">
        <v>548</v>
      </c>
      <c r="F753" s="215">
        <f>F754</f>
        <v>264.1</v>
      </c>
      <c r="G753" s="215">
        <f>G754</f>
        <v>264.1</v>
      </c>
      <c r="H753" s="62">
        <f t="shared" si="65"/>
        <v>100</v>
      </c>
    </row>
    <row r="754" spans="1:8" ht="36.75" customHeight="1">
      <c r="A754" s="50"/>
      <c r="B754" s="65"/>
      <c r="C754" s="65"/>
      <c r="D754" s="69" t="s">
        <v>7</v>
      </c>
      <c r="E754" s="66" t="s">
        <v>549</v>
      </c>
      <c r="F754" s="215">
        <f>427-50-112.9</f>
        <v>264.1</v>
      </c>
      <c r="G754" s="215">
        <f>427-50-112.9</f>
        <v>264.1</v>
      </c>
      <c r="H754" s="62">
        <f t="shared" si="65"/>
        <v>100</v>
      </c>
    </row>
    <row r="755" spans="1:8" ht="25.5">
      <c r="A755" s="50"/>
      <c r="B755" s="65"/>
      <c r="C755" s="65" t="s">
        <v>550</v>
      </c>
      <c r="D755" s="65"/>
      <c r="E755" s="66" t="s">
        <v>551</v>
      </c>
      <c r="F755" s="215">
        <f>F756</f>
        <v>3.7</v>
      </c>
      <c r="G755" s="215">
        <f>G756</f>
        <v>3.7</v>
      </c>
      <c r="H755" s="62">
        <f t="shared" si="65"/>
        <v>100</v>
      </c>
    </row>
    <row r="756" spans="1:8" ht="39.75" customHeight="1">
      <c r="A756" s="50"/>
      <c r="B756" s="65"/>
      <c r="C756" s="65"/>
      <c r="D756" s="69" t="s">
        <v>7</v>
      </c>
      <c r="E756" s="66" t="s">
        <v>549</v>
      </c>
      <c r="F756" s="215">
        <f>4-0.3</f>
        <v>3.7</v>
      </c>
      <c r="G756" s="215">
        <f>4-0.3</f>
        <v>3.7</v>
      </c>
      <c r="H756" s="62">
        <f t="shared" si="65"/>
        <v>100</v>
      </c>
    </row>
    <row r="757" spans="1:8" ht="38.25">
      <c r="A757" s="50"/>
      <c r="B757" s="65"/>
      <c r="C757" s="65" t="s">
        <v>552</v>
      </c>
      <c r="D757" s="65"/>
      <c r="E757" s="66" t="s">
        <v>553</v>
      </c>
      <c r="F757" s="215">
        <f>F758</f>
        <v>15.6</v>
      </c>
      <c r="G757" s="215">
        <f>G758</f>
        <v>15.6</v>
      </c>
      <c r="H757" s="62">
        <f t="shared" si="65"/>
        <v>100</v>
      </c>
    </row>
    <row r="758" spans="1:8" ht="41.25" customHeight="1">
      <c r="A758" s="50"/>
      <c r="B758" s="65"/>
      <c r="C758" s="65"/>
      <c r="D758" s="69" t="s">
        <v>7</v>
      </c>
      <c r="E758" s="66" t="s">
        <v>549</v>
      </c>
      <c r="F758" s="215">
        <f>65-40-9.4</f>
        <v>15.6</v>
      </c>
      <c r="G758" s="215">
        <f>65-40-9.4</f>
        <v>15.6</v>
      </c>
      <c r="H758" s="62">
        <f t="shared" si="65"/>
        <v>100</v>
      </c>
    </row>
    <row r="759" spans="1:8" ht="38.25">
      <c r="A759" s="50"/>
      <c r="B759" s="65"/>
      <c r="C759" s="65" t="s">
        <v>554</v>
      </c>
      <c r="D759" s="65"/>
      <c r="E759" s="66" t="s">
        <v>555</v>
      </c>
      <c r="F759" s="215">
        <f>F760</f>
        <v>53.7</v>
      </c>
      <c r="G759" s="215">
        <f>G760</f>
        <v>53.7</v>
      </c>
      <c r="H759" s="62">
        <f t="shared" si="65"/>
        <v>100</v>
      </c>
    </row>
    <row r="760" spans="1:8" ht="25.5">
      <c r="A760" s="50"/>
      <c r="B760" s="65"/>
      <c r="C760" s="65" t="s">
        <v>556</v>
      </c>
      <c r="D760" s="65"/>
      <c r="E760" s="66" t="s">
        <v>557</v>
      </c>
      <c r="F760" s="215">
        <f>F761</f>
        <v>53.7</v>
      </c>
      <c r="G760" s="215">
        <f>G761</f>
        <v>53.7</v>
      </c>
      <c r="H760" s="62">
        <f t="shared" si="65"/>
        <v>100</v>
      </c>
    </row>
    <row r="761" spans="1:8" ht="39" customHeight="1">
      <c r="A761" s="50"/>
      <c r="B761" s="65"/>
      <c r="C761" s="65"/>
      <c r="D761" s="69" t="s">
        <v>7</v>
      </c>
      <c r="E761" s="66" t="s">
        <v>549</v>
      </c>
      <c r="F761" s="215">
        <f>80-26.3</f>
        <v>53.7</v>
      </c>
      <c r="G761" s="215">
        <f>80-26.3</f>
        <v>53.7</v>
      </c>
      <c r="H761" s="62">
        <f aca="true" t="shared" si="73" ref="H761:H824">G761/F761*100</f>
        <v>100</v>
      </c>
    </row>
    <row r="762" spans="1:8" ht="51.75" customHeight="1">
      <c r="A762" s="50"/>
      <c r="B762" s="50"/>
      <c r="C762" s="65" t="s">
        <v>282</v>
      </c>
      <c r="D762" s="49"/>
      <c r="E762" s="68" t="s">
        <v>76</v>
      </c>
      <c r="F762" s="215">
        <f>F763</f>
        <v>6974.800000000001</v>
      </c>
      <c r="G762" s="215">
        <f>G763</f>
        <v>6974.800000000001</v>
      </c>
      <c r="H762" s="62">
        <f t="shared" si="73"/>
        <v>100</v>
      </c>
    </row>
    <row r="763" spans="1:8" ht="29.25" customHeight="1">
      <c r="A763" s="50"/>
      <c r="B763" s="50"/>
      <c r="C763" s="65" t="s">
        <v>283</v>
      </c>
      <c r="D763" s="50"/>
      <c r="E763" s="66" t="s">
        <v>284</v>
      </c>
      <c r="F763" s="218">
        <f>F764+F768</f>
        <v>6974.800000000001</v>
      </c>
      <c r="G763" s="218">
        <f>G764+G768</f>
        <v>6974.800000000001</v>
      </c>
      <c r="H763" s="62">
        <f t="shared" si="73"/>
        <v>100</v>
      </c>
    </row>
    <row r="764" spans="1:8" ht="38.25">
      <c r="A764" s="50"/>
      <c r="B764" s="50"/>
      <c r="C764" s="65" t="s">
        <v>285</v>
      </c>
      <c r="D764" s="50"/>
      <c r="E764" s="68" t="s">
        <v>625</v>
      </c>
      <c r="F764" s="218">
        <f>F765</f>
        <v>6661.200000000001</v>
      </c>
      <c r="G764" s="218">
        <f>G765</f>
        <v>6661.200000000001</v>
      </c>
      <c r="H764" s="62">
        <f t="shared" si="73"/>
        <v>100</v>
      </c>
    </row>
    <row r="765" spans="1:8" ht="25.5">
      <c r="A765" s="50"/>
      <c r="B765" s="50"/>
      <c r="C765" s="65" t="s">
        <v>286</v>
      </c>
      <c r="D765" s="50"/>
      <c r="E765" s="68" t="s">
        <v>174</v>
      </c>
      <c r="F765" s="218">
        <f>F766+F767</f>
        <v>6661.200000000001</v>
      </c>
      <c r="G765" s="218">
        <f>G766+G767</f>
        <v>6661.200000000001</v>
      </c>
      <c r="H765" s="62">
        <f t="shared" si="73"/>
        <v>100</v>
      </c>
    </row>
    <row r="766" spans="1:8" ht="77.25" customHeight="1">
      <c r="A766" s="50"/>
      <c r="B766" s="50"/>
      <c r="C766" s="50"/>
      <c r="D766" s="65" t="s">
        <v>4</v>
      </c>
      <c r="E766" s="66" t="s">
        <v>114</v>
      </c>
      <c r="F766" s="218">
        <f>8518.6+10.7+3059.7-550.8-4480</f>
        <v>6558.200000000001</v>
      </c>
      <c r="G766" s="218">
        <f>8518.6+10.7+3059.7-550.8-4480</f>
        <v>6558.200000000001</v>
      </c>
      <c r="H766" s="62">
        <f t="shared" si="73"/>
        <v>100</v>
      </c>
    </row>
    <row r="767" spans="1:8" ht="40.5" customHeight="1">
      <c r="A767" s="50"/>
      <c r="B767" s="50"/>
      <c r="C767" s="50"/>
      <c r="D767" s="69" t="s">
        <v>7</v>
      </c>
      <c r="E767" s="66" t="s">
        <v>549</v>
      </c>
      <c r="F767" s="218">
        <f>277.2-10.7-111-52.5</f>
        <v>103</v>
      </c>
      <c r="G767" s="218">
        <f>277.2-10.7-111-52.5</f>
        <v>103</v>
      </c>
      <c r="H767" s="62">
        <f t="shared" si="73"/>
        <v>100</v>
      </c>
    </row>
    <row r="768" spans="1:8" ht="51">
      <c r="A768" s="50"/>
      <c r="B768" s="50"/>
      <c r="C768" s="90" t="s">
        <v>287</v>
      </c>
      <c r="D768" s="65"/>
      <c r="E768" s="66" t="s">
        <v>288</v>
      </c>
      <c r="F768" s="218">
        <f>F769</f>
        <v>313.59999999999997</v>
      </c>
      <c r="G768" s="218">
        <f>G769</f>
        <v>313.59999999999997</v>
      </c>
      <c r="H768" s="62">
        <f t="shared" si="73"/>
        <v>100</v>
      </c>
    </row>
    <row r="769" spans="1:8" ht="63.75">
      <c r="A769" s="50"/>
      <c r="B769" s="50"/>
      <c r="C769" s="90" t="s">
        <v>626</v>
      </c>
      <c r="D769" s="65"/>
      <c r="E769" s="66" t="s">
        <v>223</v>
      </c>
      <c r="F769" s="218">
        <f>F770+F771</f>
        <v>313.59999999999997</v>
      </c>
      <c r="G769" s="218">
        <f>G770+G771</f>
        <v>313.59999999999997</v>
      </c>
      <c r="H769" s="62">
        <f t="shared" si="73"/>
        <v>100</v>
      </c>
    </row>
    <row r="770" spans="1:8" ht="77.25" customHeight="1">
      <c r="A770" s="50"/>
      <c r="B770" s="50"/>
      <c r="C770" s="50"/>
      <c r="D770" s="65" t="s">
        <v>4</v>
      </c>
      <c r="E770" s="66" t="s">
        <v>114</v>
      </c>
      <c r="F770" s="218">
        <f>430.1+9.9-136.3</f>
        <v>303.7</v>
      </c>
      <c r="G770" s="218">
        <f>430.1+9.9-136.3</f>
        <v>303.7</v>
      </c>
      <c r="H770" s="62">
        <f t="shared" si="73"/>
        <v>100</v>
      </c>
    </row>
    <row r="771" spans="1:8" ht="42" customHeight="1">
      <c r="A771" s="50"/>
      <c r="B771" s="50"/>
      <c r="C771" s="50"/>
      <c r="D771" s="69" t="s">
        <v>7</v>
      </c>
      <c r="E771" s="66" t="s">
        <v>549</v>
      </c>
      <c r="F771" s="218">
        <f>19.8-9.9</f>
        <v>9.9</v>
      </c>
      <c r="G771" s="218">
        <f>19.8-9.9</f>
        <v>9.9</v>
      </c>
      <c r="H771" s="62">
        <f t="shared" si="73"/>
        <v>100</v>
      </c>
    </row>
    <row r="772" spans="1:8" ht="38.25">
      <c r="A772" s="50"/>
      <c r="B772" s="65" t="s">
        <v>26</v>
      </c>
      <c r="C772" s="50"/>
      <c r="D772" s="65"/>
      <c r="E772" s="67" t="s">
        <v>71</v>
      </c>
      <c r="F772" s="215">
        <f aca="true" t="shared" si="74" ref="F772:G776">F773</f>
        <v>2822.5</v>
      </c>
      <c r="G772" s="215">
        <f t="shared" si="74"/>
        <v>2822.5</v>
      </c>
      <c r="H772" s="62">
        <f t="shared" si="73"/>
        <v>100</v>
      </c>
    </row>
    <row r="773" spans="1:8" ht="15">
      <c r="A773" s="50"/>
      <c r="B773" s="65" t="s">
        <v>707</v>
      </c>
      <c r="C773" s="50"/>
      <c r="D773" s="65"/>
      <c r="E773" s="66" t="s">
        <v>708</v>
      </c>
      <c r="F773" s="215">
        <f t="shared" si="74"/>
        <v>2822.5</v>
      </c>
      <c r="G773" s="215">
        <f t="shared" si="74"/>
        <v>2822.5</v>
      </c>
      <c r="H773" s="62">
        <f t="shared" si="73"/>
        <v>100</v>
      </c>
    </row>
    <row r="774" spans="1:8" ht="53.25" customHeight="1">
      <c r="A774" s="50"/>
      <c r="B774" s="50"/>
      <c r="C774" s="65" t="s">
        <v>282</v>
      </c>
      <c r="D774" s="49"/>
      <c r="E774" s="68" t="s">
        <v>76</v>
      </c>
      <c r="F774" s="215">
        <f t="shared" si="74"/>
        <v>2822.5</v>
      </c>
      <c r="G774" s="215">
        <f t="shared" si="74"/>
        <v>2822.5</v>
      </c>
      <c r="H774" s="62">
        <f t="shared" si="73"/>
        <v>100</v>
      </c>
    </row>
    <row r="775" spans="1:8" ht="54.75" customHeight="1">
      <c r="A775" s="50"/>
      <c r="B775" s="50"/>
      <c r="C775" s="65" t="s">
        <v>296</v>
      </c>
      <c r="D775" s="50"/>
      <c r="E775" s="66" t="s">
        <v>297</v>
      </c>
      <c r="F775" s="215">
        <f t="shared" si="74"/>
        <v>2822.5</v>
      </c>
      <c r="G775" s="215">
        <f t="shared" si="74"/>
        <v>2822.5</v>
      </c>
      <c r="H775" s="62">
        <f t="shared" si="73"/>
        <v>100</v>
      </c>
    </row>
    <row r="776" spans="1:8" ht="53.25" customHeight="1">
      <c r="A776" s="50"/>
      <c r="B776" s="50"/>
      <c r="C776" s="65" t="s">
        <v>628</v>
      </c>
      <c r="D776" s="50"/>
      <c r="E776" s="66" t="s">
        <v>298</v>
      </c>
      <c r="F776" s="215">
        <f t="shared" si="74"/>
        <v>2822.5</v>
      </c>
      <c r="G776" s="215">
        <f t="shared" si="74"/>
        <v>2822.5</v>
      </c>
      <c r="H776" s="62">
        <f t="shared" si="73"/>
        <v>100</v>
      </c>
    </row>
    <row r="777" spans="1:8" ht="15">
      <c r="A777" s="50"/>
      <c r="B777" s="50"/>
      <c r="C777" s="65"/>
      <c r="D777" s="65" t="s">
        <v>78</v>
      </c>
      <c r="E777" s="66" t="s">
        <v>79</v>
      </c>
      <c r="F777" s="215">
        <f>978.1+934+910.4</f>
        <v>2822.5</v>
      </c>
      <c r="G777" s="215">
        <f>978.1+934+910.4</f>
        <v>2822.5</v>
      </c>
      <c r="H777" s="62">
        <f t="shared" si="73"/>
        <v>100</v>
      </c>
    </row>
    <row r="778" spans="1:8" ht="15">
      <c r="A778" s="50"/>
      <c r="B778" s="65" t="s">
        <v>27</v>
      </c>
      <c r="C778" s="50"/>
      <c r="D778" s="50"/>
      <c r="E778" s="66" t="s">
        <v>72</v>
      </c>
      <c r="F778" s="215">
        <f aca="true" t="shared" si="75" ref="F778:G783">F779</f>
        <v>258.3</v>
      </c>
      <c r="G778" s="215">
        <f t="shared" si="75"/>
        <v>258.3</v>
      </c>
      <c r="H778" s="62">
        <f t="shared" si="73"/>
        <v>100</v>
      </c>
    </row>
    <row r="779" spans="1:8" ht="15">
      <c r="A779" s="50"/>
      <c r="B779" s="65" t="s">
        <v>32</v>
      </c>
      <c r="C779" s="50"/>
      <c r="D779" s="65"/>
      <c r="E779" s="72" t="s">
        <v>33</v>
      </c>
      <c r="F779" s="215">
        <f t="shared" si="75"/>
        <v>258.3</v>
      </c>
      <c r="G779" s="215">
        <f t="shared" si="75"/>
        <v>258.3</v>
      </c>
      <c r="H779" s="62">
        <f t="shared" si="73"/>
        <v>100</v>
      </c>
    </row>
    <row r="780" spans="1:8" ht="51" customHeight="1">
      <c r="A780" s="50"/>
      <c r="B780" s="50"/>
      <c r="C780" s="65" t="s">
        <v>282</v>
      </c>
      <c r="D780" s="49"/>
      <c r="E780" s="68" t="s">
        <v>76</v>
      </c>
      <c r="F780" s="215">
        <f t="shared" si="75"/>
        <v>258.3</v>
      </c>
      <c r="G780" s="215">
        <f t="shared" si="75"/>
        <v>258.3</v>
      </c>
      <c r="H780" s="62">
        <f t="shared" si="73"/>
        <v>100</v>
      </c>
    </row>
    <row r="781" spans="1:8" ht="51">
      <c r="A781" s="50"/>
      <c r="B781" s="50"/>
      <c r="C781" s="65" t="s">
        <v>294</v>
      </c>
      <c r="D781" s="50"/>
      <c r="E781" s="66" t="s">
        <v>295</v>
      </c>
      <c r="F781" s="215">
        <f t="shared" si="75"/>
        <v>258.3</v>
      </c>
      <c r="G781" s="215">
        <f t="shared" si="75"/>
        <v>258.3</v>
      </c>
      <c r="H781" s="62">
        <f t="shared" si="73"/>
        <v>100</v>
      </c>
    </row>
    <row r="782" spans="1:8" ht="54" customHeight="1">
      <c r="A782" s="50"/>
      <c r="B782" s="50"/>
      <c r="C782" s="65" t="s">
        <v>296</v>
      </c>
      <c r="D782" s="50"/>
      <c r="E782" s="66" t="s">
        <v>297</v>
      </c>
      <c r="F782" s="215">
        <f t="shared" si="75"/>
        <v>258.3</v>
      </c>
      <c r="G782" s="215">
        <f t="shared" si="75"/>
        <v>258.3</v>
      </c>
      <c r="H782" s="62">
        <f t="shared" si="73"/>
        <v>100</v>
      </c>
    </row>
    <row r="783" spans="1:8" ht="52.5" customHeight="1">
      <c r="A783" s="50"/>
      <c r="B783" s="50"/>
      <c r="C783" s="65" t="s">
        <v>628</v>
      </c>
      <c r="D783" s="50"/>
      <c r="E783" s="66" t="s">
        <v>298</v>
      </c>
      <c r="F783" s="215">
        <f t="shared" si="75"/>
        <v>258.3</v>
      </c>
      <c r="G783" s="215">
        <f t="shared" si="75"/>
        <v>258.3</v>
      </c>
      <c r="H783" s="62">
        <f t="shared" si="73"/>
        <v>100</v>
      </c>
    </row>
    <row r="784" spans="1:8" ht="15">
      <c r="A784" s="50"/>
      <c r="B784" s="50"/>
      <c r="C784" s="65"/>
      <c r="D784" s="65" t="s">
        <v>78</v>
      </c>
      <c r="E784" s="66" t="s">
        <v>79</v>
      </c>
      <c r="F784" s="215">
        <f>82.8+175.5</f>
        <v>258.3</v>
      </c>
      <c r="G784" s="215">
        <f>82.8+175.5</f>
        <v>258.3</v>
      </c>
      <c r="H784" s="62">
        <f t="shared" si="73"/>
        <v>100</v>
      </c>
    </row>
    <row r="785" spans="1:8" ht="25.5">
      <c r="A785" s="50"/>
      <c r="B785" s="65" t="s">
        <v>39</v>
      </c>
      <c r="C785" s="84"/>
      <c r="D785" s="81"/>
      <c r="E785" s="92" t="s">
        <v>77</v>
      </c>
      <c r="F785" s="215">
        <f>F786+F792</f>
        <v>19276.000000000004</v>
      </c>
      <c r="G785" s="215">
        <f>G786+G792</f>
        <v>19276.000000000004</v>
      </c>
      <c r="H785" s="62">
        <f t="shared" si="73"/>
        <v>100</v>
      </c>
    </row>
    <row r="786" spans="1:8" ht="15">
      <c r="A786" s="50"/>
      <c r="B786" s="65" t="s">
        <v>40</v>
      </c>
      <c r="C786" s="65"/>
      <c r="D786" s="69"/>
      <c r="E786" s="67" t="s">
        <v>41</v>
      </c>
      <c r="F786" s="215">
        <f aca="true" t="shared" si="76" ref="F786:G790">F787</f>
        <v>19069.300000000003</v>
      </c>
      <c r="G786" s="215">
        <f t="shared" si="76"/>
        <v>19069.300000000003</v>
      </c>
      <c r="H786" s="62">
        <f t="shared" si="73"/>
        <v>100</v>
      </c>
    </row>
    <row r="787" spans="1:8" ht="53.25" customHeight="1">
      <c r="A787" s="50"/>
      <c r="B787" s="50"/>
      <c r="C787" s="65" t="s">
        <v>282</v>
      </c>
      <c r="D787" s="49"/>
      <c r="E787" s="68" t="s">
        <v>76</v>
      </c>
      <c r="F787" s="215">
        <f t="shared" si="76"/>
        <v>19069.300000000003</v>
      </c>
      <c r="G787" s="215">
        <f t="shared" si="76"/>
        <v>19069.300000000003</v>
      </c>
      <c r="H787" s="62">
        <f t="shared" si="73"/>
        <v>100</v>
      </c>
    </row>
    <row r="788" spans="1:8" ht="51">
      <c r="A788" s="50"/>
      <c r="B788" s="50"/>
      <c r="C788" s="65" t="s">
        <v>294</v>
      </c>
      <c r="D788" s="50"/>
      <c r="E788" s="66" t="s">
        <v>295</v>
      </c>
      <c r="F788" s="215">
        <f t="shared" si="76"/>
        <v>19069.300000000003</v>
      </c>
      <c r="G788" s="215">
        <f t="shared" si="76"/>
        <v>19069.300000000003</v>
      </c>
      <c r="H788" s="62">
        <f t="shared" si="73"/>
        <v>100</v>
      </c>
    </row>
    <row r="789" spans="1:8" ht="53.25" customHeight="1">
      <c r="A789" s="50"/>
      <c r="B789" s="50"/>
      <c r="C789" s="65" t="s">
        <v>296</v>
      </c>
      <c r="D789" s="50"/>
      <c r="E789" s="66" t="s">
        <v>297</v>
      </c>
      <c r="F789" s="215">
        <f t="shared" si="76"/>
        <v>19069.300000000003</v>
      </c>
      <c r="G789" s="215">
        <f t="shared" si="76"/>
        <v>19069.300000000003</v>
      </c>
      <c r="H789" s="62">
        <f t="shared" si="73"/>
        <v>100</v>
      </c>
    </row>
    <row r="790" spans="1:8" ht="51.75" customHeight="1">
      <c r="A790" s="50"/>
      <c r="B790" s="50"/>
      <c r="C790" s="65" t="s">
        <v>628</v>
      </c>
      <c r="D790" s="50"/>
      <c r="E790" s="66" t="s">
        <v>298</v>
      </c>
      <c r="F790" s="215">
        <f t="shared" si="76"/>
        <v>19069.300000000003</v>
      </c>
      <c r="G790" s="215">
        <f t="shared" si="76"/>
        <v>19069.300000000003</v>
      </c>
      <c r="H790" s="62">
        <f t="shared" si="73"/>
        <v>100</v>
      </c>
    </row>
    <row r="791" spans="1:8" ht="15">
      <c r="A791" s="50"/>
      <c r="B791" s="50"/>
      <c r="C791" s="65"/>
      <c r="D791" s="65" t="s">
        <v>78</v>
      </c>
      <c r="E791" s="66" t="s">
        <v>79</v>
      </c>
      <c r="F791" s="215">
        <f>2621+5137.1+3149.5+1021.4+7087.3-827.6-0.1+880.7</f>
        <v>19069.300000000003</v>
      </c>
      <c r="G791" s="215">
        <f>2621+5137.1+3149.5+1021.4+7087.3-827.6-0.1+880.7</f>
        <v>19069.300000000003</v>
      </c>
      <c r="H791" s="62">
        <f t="shared" si="73"/>
        <v>100</v>
      </c>
    </row>
    <row r="792" spans="1:8" ht="15">
      <c r="A792" s="50"/>
      <c r="B792" s="65" t="s">
        <v>366</v>
      </c>
      <c r="C792" s="50"/>
      <c r="D792" s="69"/>
      <c r="E792" s="67" t="s">
        <v>367</v>
      </c>
      <c r="F792" s="215">
        <f aca="true" t="shared" si="77" ref="F792:G796">F793</f>
        <v>206.7</v>
      </c>
      <c r="G792" s="215">
        <f t="shared" si="77"/>
        <v>206.7</v>
      </c>
      <c r="H792" s="62">
        <f t="shared" si="73"/>
        <v>100</v>
      </c>
    </row>
    <row r="793" spans="1:8" ht="52.5" customHeight="1">
      <c r="A793" s="50"/>
      <c r="B793" s="50"/>
      <c r="C793" s="65" t="s">
        <v>282</v>
      </c>
      <c r="D793" s="49"/>
      <c r="E793" s="68" t="s">
        <v>76</v>
      </c>
      <c r="F793" s="215">
        <f t="shared" si="77"/>
        <v>206.7</v>
      </c>
      <c r="G793" s="215">
        <f t="shared" si="77"/>
        <v>206.7</v>
      </c>
      <c r="H793" s="62">
        <f t="shared" si="73"/>
        <v>100</v>
      </c>
    </row>
    <row r="794" spans="1:8" ht="51">
      <c r="A794" s="50"/>
      <c r="B794" s="50"/>
      <c r="C794" s="65" t="s">
        <v>294</v>
      </c>
      <c r="D794" s="50"/>
      <c r="E794" s="66" t="s">
        <v>295</v>
      </c>
      <c r="F794" s="215">
        <f t="shared" si="77"/>
        <v>206.7</v>
      </c>
      <c r="G794" s="215">
        <f t="shared" si="77"/>
        <v>206.7</v>
      </c>
      <c r="H794" s="62">
        <f t="shared" si="73"/>
        <v>100</v>
      </c>
    </row>
    <row r="795" spans="1:8" ht="49.5" customHeight="1">
      <c r="A795" s="50"/>
      <c r="B795" s="50"/>
      <c r="C795" s="65" t="s">
        <v>296</v>
      </c>
      <c r="D795" s="50"/>
      <c r="E795" s="66" t="s">
        <v>297</v>
      </c>
      <c r="F795" s="215">
        <f t="shared" si="77"/>
        <v>206.7</v>
      </c>
      <c r="G795" s="215">
        <f t="shared" si="77"/>
        <v>206.7</v>
      </c>
      <c r="H795" s="62">
        <f t="shared" si="73"/>
        <v>100</v>
      </c>
    </row>
    <row r="796" spans="1:8" ht="53.25" customHeight="1">
      <c r="A796" s="50"/>
      <c r="B796" s="50"/>
      <c r="C796" s="65" t="s">
        <v>628</v>
      </c>
      <c r="D796" s="50"/>
      <c r="E796" s="66" t="s">
        <v>298</v>
      </c>
      <c r="F796" s="215">
        <f t="shared" si="77"/>
        <v>206.7</v>
      </c>
      <c r="G796" s="215">
        <f t="shared" si="77"/>
        <v>206.7</v>
      </c>
      <c r="H796" s="62">
        <f t="shared" si="73"/>
        <v>100</v>
      </c>
    </row>
    <row r="797" spans="1:8" ht="15">
      <c r="A797" s="50"/>
      <c r="B797" s="50"/>
      <c r="C797" s="65"/>
      <c r="D797" s="65" t="s">
        <v>78</v>
      </c>
      <c r="E797" s="66" t="s">
        <v>79</v>
      </c>
      <c r="F797" s="215">
        <f>180+26.7</f>
        <v>206.7</v>
      </c>
      <c r="G797" s="215">
        <f>180+26.7</f>
        <v>206.7</v>
      </c>
      <c r="H797" s="62">
        <f t="shared" si="73"/>
        <v>100</v>
      </c>
    </row>
    <row r="798" spans="1:8" ht="15">
      <c r="A798" s="50"/>
      <c r="B798" s="65" t="s">
        <v>52</v>
      </c>
      <c r="C798" s="50"/>
      <c r="D798" s="69"/>
      <c r="E798" s="73" t="s">
        <v>85</v>
      </c>
      <c r="F798" s="215">
        <f aca="true" t="shared" si="78" ref="F798:G803">F799</f>
        <v>9812.2</v>
      </c>
      <c r="G798" s="215">
        <f t="shared" si="78"/>
        <v>9812.2</v>
      </c>
      <c r="H798" s="62">
        <f t="shared" si="73"/>
        <v>100</v>
      </c>
    </row>
    <row r="799" spans="1:8" ht="15">
      <c r="A799" s="50"/>
      <c r="B799" s="65" t="s">
        <v>53</v>
      </c>
      <c r="C799" s="50"/>
      <c r="D799" s="69"/>
      <c r="E799" s="73" t="s">
        <v>54</v>
      </c>
      <c r="F799" s="215">
        <f t="shared" si="78"/>
        <v>9812.2</v>
      </c>
      <c r="G799" s="215">
        <f t="shared" si="78"/>
        <v>9812.2</v>
      </c>
      <c r="H799" s="62">
        <f t="shared" si="73"/>
        <v>100</v>
      </c>
    </row>
    <row r="800" spans="1:8" ht="53.25" customHeight="1">
      <c r="A800" s="50"/>
      <c r="B800" s="50"/>
      <c r="C800" s="65" t="s">
        <v>282</v>
      </c>
      <c r="D800" s="49"/>
      <c r="E800" s="68" t="s">
        <v>76</v>
      </c>
      <c r="F800" s="215">
        <f t="shared" si="78"/>
        <v>9812.2</v>
      </c>
      <c r="G800" s="215">
        <f t="shared" si="78"/>
        <v>9812.2</v>
      </c>
      <c r="H800" s="62">
        <f t="shared" si="73"/>
        <v>100</v>
      </c>
    </row>
    <row r="801" spans="1:8" ht="51">
      <c r="A801" s="50"/>
      <c r="B801" s="50"/>
      <c r="C801" s="65" t="s">
        <v>294</v>
      </c>
      <c r="D801" s="50"/>
      <c r="E801" s="66" t="s">
        <v>295</v>
      </c>
      <c r="F801" s="215">
        <f t="shared" si="78"/>
        <v>9812.2</v>
      </c>
      <c r="G801" s="215">
        <f t="shared" si="78"/>
        <v>9812.2</v>
      </c>
      <c r="H801" s="62">
        <f t="shared" si="73"/>
        <v>100</v>
      </c>
    </row>
    <row r="802" spans="1:8" ht="54" customHeight="1">
      <c r="A802" s="50"/>
      <c r="B802" s="50"/>
      <c r="C802" s="65" t="s">
        <v>296</v>
      </c>
      <c r="D802" s="50"/>
      <c r="E802" s="66" t="s">
        <v>297</v>
      </c>
      <c r="F802" s="215">
        <f t="shared" si="78"/>
        <v>9812.2</v>
      </c>
      <c r="G802" s="215">
        <f t="shared" si="78"/>
        <v>9812.2</v>
      </c>
      <c r="H802" s="62">
        <f t="shared" si="73"/>
        <v>100</v>
      </c>
    </row>
    <row r="803" spans="1:8" ht="51.75" customHeight="1">
      <c r="A803" s="50"/>
      <c r="B803" s="50"/>
      <c r="C803" s="65" t="s">
        <v>628</v>
      </c>
      <c r="D803" s="50"/>
      <c r="E803" s="66" t="s">
        <v>298</v>
      </c>
      <c r="F803" s="215">
        <f t="shared" si="78"/>
        <v>9812.2</v>
      </c>
      <c r="G803" s="215">
        <f t="shared" si="78"/>
        <v>9812.2</v>
      </c>
      <c r="H803" s="62">
        <f t="shared" si="73"/>
        <v>100</v>
      </c>
    </row>
    <row r="804" spans="1:8" ht="15">
      <c r="A804" s="50"/>
      <c r="B804" s="50"/>
      <c r="C804" s="65"/>
      <c r="D804" s="65" t="s">
        <v>78</v>
      </c>
      <c r="E804" s="66" t="s">
        <v>79</v>
      </c>
      <c r="F804" s="215">
        <f>2701.7+6519.3+591.2</f>
        <v>9812.2</v>
      </c>
      <c r="G804" s="215">
        <f>2701.7+6519.3+591.2</f>
        <v>9812.2</v>
      </c>
      <c r="H804" s="62">
        <f t="shared" si="73"/>
        <v>100</v>
      </c>
    </row>
    <row r="805" spans="1:8" ht="52.5" customHeight="1">
      <c r="A805" s="50"/>
      <c r="B805" s="65" t="s">
        <v>65</v>
      </c>
      <c r="C805" s="50"/>
      <c r="D805" s="65"/>
      <c r="E805" s="67" t="s">
        <v>115</v>
      </c>
      <c r="F805" s="218">
        <f aca="true" t="shared" si="79" ref="F805:G810">F806</f>
        <v>34164.2</v>
      </c>
      <c r="G805" s="218">
        <f t="shared" si="79"/>
        <v>34164.2</v>
      </c>
      <c r="H805" s="62">
        <f t="shared" si="73"/>
        <v>100</v>
      </c>
    </row>
    <row r="806" spans="1:8" ht="50.25" customHeight="1">
      <c r="A806" s="50"/>
      <c r="B806" s="65" t="s">
        <v>66</v>
      </c>
      <c r="C806" s="50"/>
      <c r="D806" s="76"/>
      <c r="E806" s="67" t="s">
        <v>121</v>
      </c>
      <c r="F806" s="215">
        <f t="shared" si="79"/>
        <v>34164.2</v>
      </c>
      <c r="G806" s="215">
        <f t="shared" si="79"/>
        <v>34164.2</v>
      </c>
      <c r="H806" s="62">
        <f t="shared" si="73"/>
        <v>100</v>
      </c>
    </row>
    <row r="807" spans="1:8" ht="51" customHeight="1">
      <c r="A807" s="50"/>
      <c r="B807" s="50"/>
      <c r="C807" s="65" t="s">
        <v>282</v>
      </c>
      <c r="D807" s="49"/>
      <c r="E807" s="68" t="s">
        <v>76</v>
      </c>
      <c r="F807" s="218">
        <f t="shared" si="79"/>
        <v>34164.2</v>
      </c>
      <c r="G807" s="218">
        <f t="shared" si="79"/>
        <v>34164.2</v>
      </c>
      <c r="H807" s="62">
        <f t="shared" si="73"/>
        <v>100</v>
      </c>
    </row>
    <row r="808" spans="1:8" ht="51">
      <c r="A808" s="50"/>
      <c r="B808" s="50"/>
      <c r="C808" s="65" t="s">
        <v>294</v>
      </c>
      <c r="D808" s="50"/>
      <c r="E808" s="66" t="s">
        <v>295</v>
      </c>
      <c r="F808" s="215">
        <f t="shared" si="79"/>
        <v>34164.2</v>
      </c>
      <c r="G808" s="215">
        <f t="shared" si="79"/>
        <v>34164.2</v>
      </c>
      <c r="H808" s="62">
        <f t="shared" si="73"/>
        <v>100</v>
      </c>
    </row>
    <row r="809" spans="1:8" ht="51.75" customHeight="1">
      <c r="A809" s="50"/>
      <c r="B809" s="50"/>
      <c r="C809" s="65" t="s">
        <v>296</v>
      </c>
      <c r="D809" s="50"/>
      <c r="E809" s="66" t="s">
        <v>297</v>
      </c>
      <c r="F809" s="215">
        <f t="shared" si="79"/>
        <v>34164.2</v>
      </c>
      <c r="G809" s="215">
        <f t="shared" si="79"/>
        <v>34164.2</v>
      </c>
      <c r="H809" s="62">
        <f t="shared" si="73"/>
        <v>100</v>
      </c>
    </row>
    <row r="810" spans="1:8" ht="42" customHeight="1">
      <c r="A810" s="50"/>
      <c r="B810" s="50"/>
      <c r="C810" s="65" t="s">
        <v>629</v>
      </c>
      <c r="D810" s="50"/>
      <c r="E810" s="66" t="s">
        <v>299</v>
      </c>
      <c r="F810" s="215">
        <f t="shared" si="79"/>
        <v>34164.2</v>
      </c>
      <c r="G810" s="215">
        <f t="shared" si="79"/>
        <v>34164.2</v>
      </c>
      <c r="H810" s="62">
        <f t="shared" si="73"/>
        <v>100</v>
      </c>
    </row>
    <row r="811" spans="1:8" ht="15">
      <c r="A811" s="50"/>
      <c r="B811" s="50"/>
      <c r="C811" s="65"/>
      <c r="D811" s="65" t="s">
        <v>78</v>
      </c>
      <c r="E811" s="66" t="s">
        <v>79</v>
      </c>
      <c r="F811" s="215">
        <f>42219-8054.8</f>
        <v>34164.2</v>
      </c>
      <c r="G811" s="215">
        <f>42219-8054.8</f>
        <v>34164.2</v>
      </c>
      <c r="H811" s="62">
        <f t="shared" si="73"/>
        <v>100</v>
      </c>
    </row>
    <row r="812" spans="1:8" ht="27" customHeight="1">
      <c r="A812" s="63">
        <v>715</v>
      </c>
      <c r="B812" s="50"/>
      <c r="C812" s="50"/>
      <c r="D812" s="50"/>
      <c r="E812" s="64" t="s">
        <v>88</v>
      </c>
      <c r="F812" s="216">
        <f>F813+F824+F910+F936</f>
        <v>165693.00000000006</v>
      </c>
      <c r="G812" s="216">
        <f>G813+G824+G910+G936</f>
        <v>165693.00000000006</v>
      </c>
      <c r="H812" s="56">
        <f t="shared" si="73"/>
        <v>100</v>
      </c>
    </row>
    <row r="813" spans="1:8" ht="38.25">
      <c r="A813" s="63"/>
      <c r="B813" s="65" t="s">
        <v>26</v>
      </c>
      <c r="C813" s="50"/>
      <c r="D813" s="65"/>
      <c r="E813" s="67" t="s">
        <v>71</v>
      </c>
      <c r="F813" s="218">
        <f>F814</f>
        <v>805.7</v>
      </c>
      <c r="G813" s="218">
        <f>G814</f>
        <v>805.7</v>
      </c>
      <c r="H813" s="62">
        <f t="shared" si="73"/>
        <v>100</v>
      </c>
    </row>
    <row r="814" spans="1:8" ht="38.25">
      <c r="A814" s="63"/>
      <c r="B814" s="65" t="s">
        <v>362</v>
      </c>
      <c r="C814" s="50"/>
      <c r="D814" s="65"/>
      <c r="E814" s="67" t="s">
        <v>365</v>
      </c>
      <c r="F814" s="218">
        <f>F815</f>
        <v>805.7</v>
      </c>
      <c r="G814" s="218">
        <f>G815</f>
        <v>805.7</v>
      </c>
      <c r="H814" s="62">
        <f t="shared" si="73"/>
        <v>100</v>
      </c>
    </row>
    <row r="815" spans="1:8" ht="51">
      <c r="A815" s="63"/>
      <c r="B815" s="50"/>
      <c r="C815" s="65" t="s">
        <v>630</v>
      </c>
      <c r="D815" s="49"/>
      <c r="E815" s="68" t="s">
        <v>363</v>
      </c>
      <c r="F815" s="215">
        <f>F816+F820</f>
        <v>805.7</v>
      </c>
      <c r="G815" s="215">
        <f>G816+G820</f>
        <v>805.7</v>
      </c>
      <c r="H815" s="62">
        <f t="shared" si="73"/>
        <v>100</v>
      </c>
    </row>
    <row r="816" spans="1:8" ht="38.25">
      <c r="A816" s="63"/>
      <c r="B816" s="50"/>
      <c r="C816" s="65" t="s">
        <v>631</v>
      </c>
      <c r="D816" s="50"/>
      <c r="E816" s="66" t="s">
        <v>632</v>
      </c>
      <c r="F816" s="215">
        <f aca="true" t="shared" si="80" ref="F816:G818">F817</f>
        <v>60</v>
      </c>
      <c r="G816" s="215">
        <f t="shared" si="80"/>
        <v>60</v>
      </c>
      <c r="H816" s="62">
        <f t="shared" si="73"/>
        <v>100</v>
      </c>
    </row>
    <row r="817" spans="1:8" ht="38.25">
      <c r="A817" s="63"/>
      <c r="B817" s="50"/>
      <c r="C817" s="74" t="s">
        <v>633</v>
      </c>
      <c r="D817" s="50"/>
      <c r="E817" s="66" t="s">
        <v>634</v>
      </c>
      <c r="F817" s="215">
        <f t="shared" si="80"/>
        <v>60</v>
      </c>
      <c r="G817" s="215">
        <f t="shared" si="80"/>
        <v>60</v>
      </c>
      <c r="H817" s="62">
        <f t="shared" si="73"/>
        <v>100</v>
      </c>
    </row>
    <row r="818" spans="1:8" ht="66" customHeight="1">
      <c r="A818" s="63"/>
      <c r="B818" s="50"/>
      <c r="C818" s="74" t="s">
        <v>635</v>
      </c>
      <c r="D818" s="50"/>
      <c r="E818" s="66" t="s">
        <v>636</v>
      </c>
      <c r="F818" s="215">
        <f t="shared" si="80"/>
        <v>60</v>
      </c>
      <c r="G818" s="215">
        <f t="shared" si="80"/>
        <v>60</v>
      </c>
      <c r="H818" s="62">
        <f t="shared" si="73"/>
        <v>100</v>
      </c>
    </row>
    <row r="819" spans="1:8" ht="40.5" customHeight="1">
      <c r="A819" s="63"/>
      <c r="B819" s="50"/>
      <c r="C819" s="65"/>
      <c r="D819" s="69" t="s">
        <v>7</v>
      </c>
      <c r="E819" s="66" t="s">
        <v>549</v>
      </c>
      <c r="F819" s="215">
        <v>60</v>
      </c>
      <c r="G819" s="215">
        <v>60</v>
      </c>
      <c r="H819" s="62">
        <f t="shared" si="73"/>
        <v>100</v>
      </c>
    </row>
    <row r="820" spans="1:8" ht="25.5">
      <c r="A820" s="63"/>
      <c r="B820" s="50"/>
      <c r="C820" s="65" t="s">
        <v>571</v>
      </c>
      <c r="D820" s="50"/>
      <c r="E820" s="66" t="s">
        <v>572</v>
      </c>
      <c r="F820" s="215">
        <f aca="true" t="shared" si="81" ref="F820:G822">F821</f>
        <v>745.7</v>
      </c>
      <c r="G820" s="215">
        <f t="shared" si="81"/>
        <v>745.7</v>
      </c>
      <c r="H820" s="62">
        <f t="shared" si="73"/>
        <v>100</v>
      </c>
    </row>
    <row r="821" spans="1:8" ht="51">
      <c r="A821" s="63"/>
      <c r="B821" s="50"/>
      <c r="C821" s="65" t="s">
        <v>371</v>
      </c>
      <c r="D821" s="50"/>
      <c r="E821" s="73" t="s">
        <v>372</v>
      </c>
      <c r="F821" s="215">
        <f t="shared" si="81"/>
        <v>745.7</v>
      </c>
      <c r="G821" s="215">
        <f t="shared" si="81"/>
        <v>745.7</v>
      </c>
      <c r="H821" s="62">
        <f t="shared" si="73"/>
        <v>100</v>
      </c>
    </row>
    <row r="822" spans="1:8" ht="51">
      <c r="A822" s="63"/>
      <c r="B822" s="50"/>
      <c r="C822" s="65" t="s">
        <v>646</v>
      </c>
      <c r="D822" s="76"/>
      <c r="E822" s="73" t="s">
        <v>647</v>
      </c>
      <c r="F822" s="215">
        <f t="shared" si="81"/>
        <v>745.7</v>
      </c>
      <c r="G822" s="215">
        <f t="shared" si="81"/>
        <v>745.7</v>
      </c>
      <c r="H822" s="62">
        <f t="shared" si="73"/>
        <v>100</v>
      </c>
    </row>
    <row r="823" spans="1:8" ht="38.25">
      <c r="A823" s="63"/>
      <c r="B823" s="50"/>
      <c r="C823" s="65"/>
      <c r="D823" s="69" t="s">
        <v>35</v>
      </c>
      <c r="E823" s="73" t="s">
        <v>36</v>
      </c>
      <c r="F823" s="215">
        <v>745.7</v>
      </c>
      <c r="G823" s="215">
        <v>745.7</v>
      </c>
      <c r="H823" s="62">
        <f t="shared" si="73"/>
        <v>100</v>
      </c>
    </row>
    <row r="824" spans="1:8" ht="15">
      <c r="A824" s="50"/>
      <c r="B824" s="65" t="s">
        <v>44</v>
      </c>
      <c r="C824" s="65"/>
      <c r="D824" s="65"/>
      <c r="E824" s="66" t="s">
        <v>81</v>
      </c>
      <c r="F824" s="215">
        <f>F825+F845+F856+F862+F872</f>
        <v>156468.20000000004</v>
      </c>
      <c r="G824" s="215">
        <f>G825+G845+G856+G862+G872</f>
        <v>156468.20000000004</v>
      </c>
      <c r="H824" s="62">
        <f t="shared" si="73"/>
        <v>100</v>
      </c>
    </row>
    <row r="825" spans="1:8" ht="15">
      <c r="A825" s="50"/>
      <c r="B825" s="65" t="s">
        <v>45</v>
      </c>
      <c r="C825" s="65"/>
      <c r="D825" s="65"/>
      <c r="E825" s="72" t="s">
        <v>46</v>
      </c>
      <c r="F825" s="215">
        <f>F826</f>
        <v>44800.90000000001</v>
      </c>
      <c r="G825" s="215">
        <f>G826</f>
        <v>44800.90000000001</v>
      </c>
      <c r="H825" s="62">
        <f aca="true" t="shared" si="82" ref="H825:H888">G825/F825*100</f>
        <v>100</v>
      </c>
    </row>
    <row r="826" spans="1:8" ht="38.25">
      <c r="A826" s="50"/>
      <c r="B826" s="50"/>
      <c r="C826" s="65" t="s">
        <v>237</v>
      </c>
      <c r="D826" s="49"/>
      <c r="E826" s="68" t="s">
        <v>82</v>
      </c>
      <c r="F826" s="215">
        <f>F827+F839</f>
        <v>44800.90000000001</v>
      </c>
      <c r="G826" s="215">
        <f>G827+G839</f>
        <v>44800.90000000001</v>
      </c>
      <c r="H826" s="62">
        <f t="shared" si="82"/>
        <v>100</v>
      </c>
    </row>
    <row r="827" spans="1:8" ht="25.5">
      <c r="A827" s="50"/>
      <c r="B827" s="50"/>
      <c r="C827" s="65" t="s">
        <v>238</v>
      </c>
      <c r="D827" s="49"/>
      <c r="E827" s="68" t="s">
        <v>239</v>
      </c>
      <c r="F827" s="215">
        <f>F828+F836</f>
        <v>21233.800000000003</v>
      </c>
      <c r="G827" s="215">
        <f>G828+G836</f>
        <v>21233.800000000003</v>
      </c>
      <c r="H827" s="62">
        <f t="shared" si="82"/>
        <v>100</v>
      </c>
    </row>
    <row r="828" spans="1:8" ht="63.75">
      <c r="A828" s="50"/>
      <c r="B828" s="50"/>
      <c r="C828" s="65" t="s">
        <v>240</v>
      </c>
      <c r="D828" s="49"/>
      <c r="E828" s="68" t="s">
        <v>241</v>
      </c>
      <c r="F828" s="215">
        <f>F829+F831+F833</f>
        <v>21011.800000000003</v>
      </c>
      <c r="G828" s="215">
        <f>G829+G831+G833</f>
        <v>21011.800000000003</v>
      </c>
      <c r="H828" s="62">
        <f t="shared" si="82"/>
        <v>100</v>
      </c>
    </row>
    <row r="829" spans="1:8" ht="63.75">
      <c r="A829" s="50"/>
      <c r="B829" s="50"/>
      <c r="C829" s="65" t="s">
        <v>300</v>
      </c>
      <c r="D829" s="49"/>
      <c r="E829" s="68" t="s">
        <v>301</v>
      </c>
      <c r="F829" s="215">
        <f>F830</f>
        <v>5466.499999999998</v>
      </c>
      <c r="G829" s="215">
        <f>G830</f>
        <v>5466.499999999998</v>
      </c>
      <c r="H829" s="62">
        <f t="shared" si="82"/>
        <v>100</v>
      </c>
    </row>
    <row r="830" spans="1:8" ht="38.25">
      <c r="A830" s="50"/>
      <c r="B830" s="50"/>
      <c r="C830" s="65"/>
      <c r="D830" s="65" t="s">
        <v>35</v>
      </c>
      <c r="E830" s="66" t="s">
        <v>83</v>
      </c>
      <c r="F830" s="215">
        <f>7092.6+1219.3+130.3+44-3019.6-0.1</f>
        <v>5466.499999999998</v>
      </c>
      <c r="G830" s="215">
        <f>7092.6+1219.3+130.3+44-3019.6-0.1</f>
        <v>5466.499999999998</v>
      </c>
      <c r="H830" s="62">
        <f t="shared" si="82"/>
        <v>100</v>
      </c>
    </row>
    <row r="831" spans="1:8" ht="38.25">
      <c r="A831" s="50"/>
      <c r="B831" s="50"/>
      <c r="C831" s="65" t="s">
        <v>242</v>
      </c>
      <c r="D831" s="50"/>
      <c r="E831" s="68" t="s">
        <v>243</v>
      </c>
      <c r="F831" s="215">
        <f>F832</f>
        <v>533</v>
      </c>
      <c r="G831" s="215">
        <f>G832</f>
        <v>533</v>
      </c>
      <c r="H831" s="62">
        <f t="shared" si="82"/>
        <v>100</v>
      </c>
    </row>
    <row r="832" spans="1:8" ht="38.25">
      <c r="A832" s="50"/>
      <c r="B832" s="50"/>
      <c r="C832" s="50"/>
      <c r="D832" s="65" t="s">
        <v>35</v>
      </c>
      <c r="E832" s="66" t="s">
        <v>83</v>
      </c>
      <c r="F832" s="215">
        <v>533</v>
      </c>
      <c r="G832" s="215">
        <v>533</v>
      </c>
      <c r="H832" s="62">
        <f t="shared" si="82"/>
        <v>100</v>
      </c>
    </row>
    <row r="833" spans="1:8" ht="38.25">
      <c r="A833" s="50"/>
      <c r="B833" s="50"/>
      <c r="C833" s="65" t="s">
        <v>648</v>
      </c>
      <c r="D833" s="50"/>
      <c r="E833" s="68" t="s">
        <v>649</v>
      </c>
      <c r="F833" s="215">
        <f>F834+F835</f>
        <v>15012.300000000007</v>
      </c>
      <c r="G833" s="215">
        <f>G834+G835</f>
        <v>15012.300000000007</v>
      </c>
      <c r="H833" s="62">
        <f t="shared" si="82"/>
        <v>100</v>
      </c>
    </row>
    <row r="834" spans="1:8" ht="25.5">
      <c r="A834" s="50"/>
      <c r="B834" s="50"/>
      <c r="C834" s="65"/>
      <c r="D834" s="69" t="s">
        <v>14</v>
      </c>
      <c r="E834" s="73" t="s">
        <v>15</v>
      </c>
      <c r="F834" s="215">
        <v>34.7</v>
      </c>
      <c r="G834" s="215">
        <v>34.7</v>
      </c>
      <c r="H834" s="62">
        <f t="shared" si="82"/>
        <v>100</v>
      </c>
    </row>
    <row r="835" spans="1:8" ht="38.25">
      <c r="A835" s="50"/>
      <c r="B835" s="50"/>
      <c r="C835" s="50"/>
      <c r="D835" s="65" t="s">
        <v>35</v>
      </c>
      <c r="E835" s="66" t="s">
        <v>83</v>
      </c>
      <c r="F835" s="215">
        <f>43300.3-34.2-21054.8-7233.7</f>
        <v>14977.600000000006</v>
      </c>
      <c r="G835" s="215">
        <f>43300.3-34.2-21054.8-7233.7</f>
        <v>14977.600000000006</v>
      </c>
      <c r="H835" s="62">
        <f t="shared" si="82"/>
        <v>100</v>
      </c>
    </row>
    <row r="836" spans="1:8" ht="29.25" customHeight="1">
      <c r="A836" s="50"/>
      <c r="B836" s="50"/>
      <c r="C836" s="65" t="s">
        <v>302</v>
      </c>
      <c r="D836" s="50"/>
      <c r="E836" s="68" t="s">
        <v>303</v>
      </c>
      <c r="F836" s="215">
        <f>F837</f>
        <v>222</v>
      </c>
      <c r="G836" s="215">
        <f>G837</f>
        <v>222</v>
      </c>
      <c r="H836" s="62">
        <f t="shared" si="82"/>
        <v>100</v>
      </c>
    </row>
    <row r="837" spans="1:8" ht="38.25">
      <c r="A837" s="50"/>
      <c r="B837" s="50"/>
      <c r="C837" s="65" t="s">
        <v>650</v>
      </c>
      <c r="D837" s="65"/>
      <c r="E837" s="68" t="s">
        <v>649</v>
      </c>
      <c r="F837" s="215">
        <f>F838</f>
        <v>222</v>
      </c>
      <c r="G837" s="215">
        <f>G838</f>
        <v>222</v>
      </c>
      <c r="H837" s="62">
        <f t="shared" si="82"/>
        <v>100</v>
      </c>
    </row>
    <row r="838" spans="1:8" ht="38.25">
      <c r="A838" s="50"/>
      <c r="B838" s="50"/>
      <c r="C838" s="50"/>
      <c r="D838" s="65" t="s">
        <v>35</v>
      </c>
      <c r="E838" s="66" t="s">
        <v>83</v>
      </c>
      <c r="F838" s="215">
        <f>360.2-138.2</f>
        <v>222</v>
      </c>
      <c r="G838" s="215">
        <f>360.2-138.2</f>
        <v>222</v>
      </c>
      <c r="H838" s="62">
        <f t="shared" si="82"/>
        <v>100</v>
      </c>
    </row>
    <row r="839" spans="1:8" ht="38.25">
      <c r="A839" s="50"/>
      <c r="B839" s="50"/>
      <c r="C839" s="65" t="s">
        <v>244</v>
      </c>
      <c r="D839" s="65"/>
      <c r="E839" s="66" t="s">
        <v>245</v>
      </c>
      <c r="F839" s="215">
        <f>F840</f>
        <v>23567.100000000006</v>
      </c>
      <c r="G839" s="215">
        <f>G840</f>
        <v>23567.100000000006</v>
      </c>
      <c r="H839" s="62">
        <f t="shared" si="82"/>
        <v>100</v>
      </c>
    </row>
    <row r="840" spans="1:8" ht="102">
      <c r="A840" s="50"/>
      <c r="B840" s="50"/>
      <c r="C840" s="65" t="s">
        <v>246</v>
      </c>
      <c r="D840" s="65"/>
      <c r="E840" s="66" t="s">
        <v>247</v>
      </c>
      <c r="F840" s="215">
        <f>F841+F843</f>
        <v>23567.100000000006</v>
      </c>
      <c r="G840" s="215">
        <f>G841+G843</f>
        <v>23567.100000000006</v>
      </c>
      <c r="H840" s="62">
        <f t="shared" si="82"/>
        <v>100</v>
      </c>
    </row>
    <row r="841" spans="1:8" ht="114.75">
      <c r="A841" s="50"/>
      <c r="B841" s="50"/>
      <c r="C841" s="65" t="s">
        <v>304</v>
      </c>
      <c r="D841" s="65"/>
      <c r="E841" s="66" t="s">
        <v>305</v>
      </c>
      <c r="F841" s="215">
        <f>F842</f>
        <v>6584.800000000001</v>
      </c>
      <c r="G841" s="215">
        <f>G842</f>
        <v>6584.800000000001</v>
      </c>
      <c r="H841" s="62">
        <f t="shared" si="82"/>
        <v>100</v>
      </c>
    </row>
    <row r="842" spans="1:8" ht="38.25">
      <c r="A842" s="50"/>
      <c r="B842" s="50"/>
      <c r="C842" s="65"/>
      <c r="D842" s="65" t="s">
        <v>35</v>
      </c>
      <c r="E842" s="66" t="s">
        <v>83</v>
      </c>
      <c r="F842" s="215">
        <f>9704.6+1104.7+280.4-20-4484.9</f>
        <v>6584.800000000001</v>
      </c>
      <c r="G842" s="215">
        <f>9704.6+1104.7+280.4-20-4484.9</f>
        <v>6584.800000000001</v>
      </c>
      <c r="H842" s="62">
        <f t="shared" si="82"/>
        <v>100</v>
      </c>
    </row>
    <row r="843" spans="1:8" ht="38.25">
      <c r="A843" s="50"/>
      <c r="B843" s="50"/>
      <c r="C843" s="65" t="s">
        <v>651</v>
      </c>
      <c r="D843" s="65"/>
      <c r="E843" s="68" t="s">
        <v>649</v>
      </c>
      <c r="F843" s="215">
        <f>F844</f>
        <v>16982.300000000003</v>
      </c>
      <c r="G843" s="215">
        <f>G844</f>
        <v>16982.300000000003</v>
      </c>
      <c r="H843" s="62">
        <f t="shared" si="82"/>
        <v>100</v>
      </c>
    </row>
    <row r="844" spans="1:8" ht="38.25">
      <c r="A844" s="50"/>
      <c r="B844" s="50"/>
      <c r="C844" s="65"/>
      <c r="D844" s="65" t="s">
        <v>35</v>
      </c>
      <c r="E844" s="66" t="s">
        <v>83</v>
      </c>
      <c r="F844" s="215">
        <f>4157.4+20950.9-8126</f>
        <v>16982.300000000003</v>
      </c>
      <c r="G844" s="215">
        <f>4157.4+20950.9-8126</f>
        <v>16982.300000000003</v>
      </c>
      <c r="H844" s="62">
        <f t="shared" si="82"/>
        <v>100</v>
      </c>
    </row>
    <row r="845" spans="1:8" ht="15">
      <c r="A845" s="50"/>
      <c r="B845" s="65" t="s">
        <v>47</v>
      </c>
      <c r="C845" s="65"/>
      <c r="D845" s="65"/>
      <c r="E845" s="66" t="s">
        <v>48</v>
      </c>
      <c r="F845" s="215">
        <f>F846</f>
        <v>88968.29999999999</v>
      </c>
      <c r="G845" s="215">
        <f>G846</f>
        <v>88968.29999999999</v>
      </c>
      <c r="H845" s="62">
        <f t="shared" si="82"/>
        <v>100</v>
      </c>
    </row>
    <row r="846" spans="1:8" ht="38.25">
      <c r="A846" s="50"/>
      <c r="B846" s="65"/>
      <c r="C846" s="65" t="s">
        <v>237</v>
      </c>
      <c r="D846" s="49"/>
      <c r="E846" s="68" t="s">
        <v>82</v>
      </c>
      <c r="F846" s="215">
        <f>F847</f>
        <v>88968.29999999999</v>
      </c>
      <c r="G846" s="215">
        <f>G847</f>
        <v>88968.29999999999</v>
      </c>
      <c r="H846" s="62">
        <f t="shared" si="82"/>
        <v>100</v>
      </c>
    </row>
    <row r="847" spans="1:8" ht="38.25">
      <c r="A847" s="50"/>
      <c r="B847" s="50"/>
      <c r="C847" s="65" t="s">
        <v>244</v>
      </c>
      <c r="D847" s="65"/>
      <c r="E847" s="66" t="s">
        <v>245</v>
      </c>
      <c r="F847" s="215">
        <f>F848+F853</f>
        <v>88968.29999999999</v>
      </c>
      <c r="G847" s="215">
        <f>G848+G853</f>
        <v>88968.29999999999</v>
      </c>
      <c r="H847" s="62">
        <f t="shared" si="82"/>
        <v>100</v>
      </c>
    </row>
    <row r="848" spans="1:8" ht="102">
      <c r="A848" s="50"/>
      <c r="B848" s="81"/>
      <c r="C848" s="65" t="s">
        <v>246</v>
      </c>
      <c r="D848" s="65"/>
      <c r="E848" s="66" t="s">
        <v>247</v>
      </c>
      <c r="F848" s="215">
        <f>F849+F851</f>
        <v>87272.4</v>
      </c>
      <c r="G848" s="215">
        <f>G849+G851</f>
        <v>87272.4</v>
      </c>
      <c r="H848" s="62">
        <f t="shared" si="82"/>
        <v>100</v>
      </c>
    </row>
    <row r="849" spans="1:8" ht="114.75">
      <c r="A849" s="50"/>
      <c r="B849" s="65"/>
      <c r="C849" s="65" t="s">
        <v>304</v>
      </c>
      <c r="D849" s="65"/>
      <c r="E849" s="66" t="s">
        <v>305</v>
      </c>
      <c r="F849" s="215">
        <f>F850</f>
        <v>22991.6</v>
      </c>
      <c r="G849" s="215">
        <f>G850</f>
        <v>22991.6</v>
      </c>
      <c r="H849" s="62">
        <f t="shared" si="82"/>
        <v>100</v>
      </c>
    </row>
    <row r="850" spans="1:8" ht="38.25">
      <c r="A850" s="50"/>
      <c r="B850" s="50"/>
      <c r="C850" s="65"/>
      <c r="D850" s="65" t="s">
        <v>35</v>
      </c>
      <c r="E850" s="66" t="s">
        <v>83</v>
      </c>
      <c r="F850" s="215">
        <f>31745+346.5+1511.9+0.1+300.6-10912.5</f>
        <v>22991.6</v>
      </c>
      <c r="G850" s="215">
        <f>31745+346.5+1511.9+0.1+300.6-10912.5</f>
        <v>22991.6</v>
      </c>
      <c r="H850" s="62">
        <f t="shared" si="82"/>
        <v>100</v>
      </c>
    </row>
    <row r="851" spans="1:8" ht="38.25">
      <c r="A851" s="50"/>
      <c r="B851" s="50"/>
      <c r="C851" s="65" t="s">
        <v>651</v>
      </c>
      <c r="D851" s="65"/>
      <c r="E851" s="68" t="s">
        <v>649</v>
      </c>
      <c r="F851" s="215">
        <f>F852</f>
        <v>64280.8</v>
      </c>
      <c r="G851" s="215">
        <f>G852</f>
        <v>64280.8</v>
      </c>
      <c r="H851" s="62">
        <f t="shared" si="82"/>
        <v>100</v>
      </c>
    </row>
    <row r="852" spans="1:8" ht="38.25">
      <c r="A852" s="50"/>
      <c r="B852" s="50"/>
      <c r="C852" s="65"/>
      <c r="D852" s="65" t="s">
        <v>35</v>
      </c>
      <c r="E852" s="66" t="s">
        <v>83</v>
      </c>
      <c r="F852" s="215">
        <f>91976+2996.3-30691.5</f>
        <v>64280.8</v>
      </c>
      <c r="G852" s="215">
        <f>91976+2996.3-30691.5</f>
        <v>64280.8</v>
      </c>
      <c r="H852" s="62">
        <f t="shared" si="82"/>
        <v>100</v>
      </c>
    </row>
    <row r="853" spans="1:8" ht="27.75" customHeight="1">
      <c r="A853" s="50"/>
      <c r="B853" s="50"/>
      <c r="C853" s="65" t="s">
        <v>306</v>
      </c>
      <c r="D853" s="65"/>
      <c r="E853" s="66" t="s">
        <v>303</v>
      </c>
      <c r="F853" s="215">
        <f>F854</f>
        <v>1695.9</v>
      </c>
      <c r="G853" s="215">
        <f>G854</f>
        <v>1695.9</v>
      </c>
      <c r="H853" s="62">
        <f t="shared" si="82"/>
        <v>100</v>
      </c>
    </row>
    <row r="854" spans="1:8" ht="38.25">
      <c r="A854" s="50"/>
      <c r="B854" s="50"/>
      <c r="C854" s="65" t="s">
        <v>652</v>
      </c>
      <c r="D854" s="65"/>
      <c r="E854" s="68" t="s">
        <v>649</v>
      </c>
      <c r="F854" s="215">
        <f>F855</f>
        <v>1695.9</v>
      </c>
      <c r="G854" s="215">
        <f>G855</f>
        <v>1695.9</v>
      </c>
      <c r="H854" s="62">
        <f t="shared" si="82"/>
        <v>100</v>
      </c>
    </row>
    <row r="855" spans="1:8" ht="38.25">
      <c r="A855" s="50"/>
      <c r="B855" s="50"/>
      <c r="C855" s="65"/>
      <c r="D855" s="65" t="s">
        <v>35</v>
      </c>
      <c r="E855" s="66" t="s">
        <v>83</v>
      </c>
      <c r="F855" s="215">
        <f>2764.9-1069</f>
        <v>1695.9</v>
      </c>
      <c r="G855" s="215">
        <f>2764.9-1069</f>
        <v>1695.9</v>
      </c>
      <c r="H855" s="62">
        <f t="shared" si="82"/>
        <v>100</v>
      </c>
    </row>
    <row r="856" spans="1:8" ht="15">
      <c r="A856" s="50"/>
      <c r="B856" s="65" t="s">
        <v>657</v>
      </c>
      <c r="C856" s="65"/>
      <c r="D856" s="65"/>
      <c r="E856" s="66" t="s">
        <v>658</v>
      </c>
      <c r="F856" s="215">
        <f aca="true" t="shared" si="83" ref="F856:G859">F857</f>
        <v>10291.2</v>
      </c>
      <c r="G856" s="215">
        <f t="shared" si="83"/>
        <v>10291.2</v>
      </c>
      <c r="H856" s="62">
        <f t="shared" si="82"/>
        <v>100</v>
      </c>
    </row>
    <row r="857" spans="1:8" ht="38.25">
      <c r="A857" s="50"/>
      <c r="B857" s="50"/>
      <c r="C857" s="65" t="s">
        <v>237</v>
      </c>
      <c r="D857" s="49"/>
      <c r="E857" s="68" t="s">
        <v>82</v>
      </c>
      <c r="F857" s="215">
        <f t="shared" si="83"/>
        <v>10291.2</v>
      </c>
      <c r="G857" s="215">
        <f t="shared" si="83"/>
        <v>10291.2</v>
      </c>
      <c r="H857" s="62">
        <f t="shared" si="82"/>
        <v>100</v>
      </c>
    </row>
    <row r="858" spans="1:8" ht="38.25">
      <c r="A858" s="50"/>
      <c r="B858" s="50"/>
      <c r="C858" s="65" t="s">
        <v>249</v>
      </c>
      <c r="D858" s="50"/>
      <c r="E858" s="68" t="s">
        <v>250</v>
      </c>
      <c r="F858" s="215">
        <f t="shared" si="83"/>
        <v>10291.2</v>
      </c>
      <c r="G858" s="215">
        <f t="shared" si="83"/>
        <v>10291.2</v>
      </c>
      <c r="H858" s="62">
        <f t="shared" si="82"/>
        <v>100</v>
      </c>
    </row>
    <row r="859" spans="1:8" ht="51">
      <c r="A859" s="50"/>
      <c r="B859" s="50"/>
      <c r="C859" s="65" t="s">
        <v>251</v>
      </c>
      <c r="D859" s="65"/>
      <c r="E859" s="66" t="s">
        <v>252</v>
      </c>
      <c r="F859" s="215">
        <f t="shared" si="83"/>
        <v>10291.2</v>
      </c>
      <c r="G859" s="215">
        <f t="shared" si="83"/>
        <v>10291.2</v>
      </c>
      <c r="H859" s="62">
        <f t="shared" si="82"/>
        <v>100</v>
      </c>
    </row>
    <row r="860" spans="1:8" ht="63.75">
      <c r="A860" s="50"/>
      <c r="B860" s="50"/>
      <c r="C860" s="65" t="s">
        <v>307</v>
      </c>
      <c r="D860" s="69"/>
      <c r="E860" s="73" t="s">
        <v>308</v>
      </c>
      <c r="F860" s="215">
        <f>+F861</f>
        <v>10291.2</v>
      </c>
      <c r="G860" s="215">
        <f>+G861</f>
        <v>10291.2</v>
      </c>
      <c r="H860" s="62">
        <f t="shared" si="82"/>
        <v>100</v>
      </c>
    </row>
    <row r="861" spans="1:8" ht="38.25">
      <c r="A861" s="50"/>
      <c r="B861" s="50"/>
      <c r="C861" s="50"/>
      <c r="D861" s="65" t="s">
        <v>35</v>
      </c>
      <c r="E861" s="66" t="s">
        <v>83</v>
      </c>
      <c r="F861" s="215">
        <f>13133.3+727.1+17.1+296.5+601.5-1278-829.6-2376.7</f>
        <v>10291.2</v>
      </c>
      <c r="G861" s="215">
        <f>13133.3+727.1+17.1+296.5+601.5-1278-829.6-2376.7</f>
        <v>10291.2</v>
      </c>
      <c r="H861" s="62">
        <f t="shared" si="82"/>
        <v>100</v>
      </c>
    </row>
    <row r="862" spans="1:8" ht="15">
      <c r="A862" s="50"/>
      <c r="B862" s="65" t="s">
        <v>49</v>
      </c>
      <c r="C862" s="65"/>
      <c r="D862" s="50"/>
      <c r="E862" s="68" t="s">
        <v>253</v>
      </c>
      <c r="F862" s="215">
        <f aca="true" t="shared" si="84" ref="F862:G864">F863</f>
        <v>3430.1</v>
      </c>
      <c r="G862" s="215">
        <f t="shared" si="84"/>
        <v>3430.1</v>
      </c>
      <c r="H862" s="62">
        <f t="shared" si="82"/>
        <v>100</v>
      </c>
    </row>
    <row r="863" spans="1:8" ht="38.25">
      <c r="A863" s="50"/>
      <c r="B863" s="65"/>
      <c r="C863" s="65" t="s">
        <v>237</v>
      </c>
      <c r="D863" s="49"/>
      <c r="E863" s="68" t="s">
        <v>82</v>
      </c>
      <c r="F863" s="215">
        <f t="shared" si="84"/>
        <v>3430.1</v>
      </c>
      <c r="G863" s="215">
        <f t="shared" si="84"/>
        <v>3430.1</v>
      </c>
      <c r="H863" s="62">
        <f t="shared" si="82"/>
        <v>100</v>
      </c>
    </row>
    <row r="864" spans="1:8" ht="25.5">
      <c r="A864" s="50"/>
      <c r="B864" s="50"/>
      <c r="C864" s="65" t="s">
        <v>309</v>
      </c>
      <c r="D864" s="65"/>
      <c r="E864" s="68" t="s">
        <v>310</v>
      </c>
      <c r="F864" s="215">
        <f t="shared" si="84"/>
        <v>3430.1</v>
      </c>
      <c r="G864" s="215">
        <f t="shared" si="84"/>
        <v>3430.1</v>
      </c>
      <c r="H864" s="62">
        <f t="shared" si="82"/>
        <v>100</v>
      </c>
    </row>
    <row r="865" spans="1:8" ht="51.75" customHeight="1">
      <c r="A865" s="50"/>
      <c r="B865" s="50"/>
      <c r="C865" s="65" t="s">
        <v>311</v>
      </c>
      <c r="D865" s="50"/>
      <c r="E865" s="68" t="s">
        <v>312</v>
      </c>
      <c r="F865" s="215">
        <f>F866+F869</f>
        <v>3430.1</v>
      </c>
      <c r="G865" s="215">
        <f>G866+G869</f>
        <v>3430.1</v>
      </c>
      <c r="H865" s="62">
        <f t="shared" si="82"/>
        <v>100</v>
      </c>
    </row>
    <row r="866" spans="1:8" ht="51">
      <c r="A866" s="50"/>
      <c r="B866" s="50"/>
      <c r="C866" s="65" t="s">
        <v>313</v>
      </c>
      <c r="D866" s="65"/>
      <c r="E866" s="66" t="s">
        <v>314</v>
      </c>
      <c r="F866" s="215">
        <f>F867+F868</f>
        <v>1344.6</v>
      </c>
      <c r="G866" s="215">
        <f>G867+G868</f>
        <v>1344.6</v>
      </c>
      <c r="H866" s="62">
        <f t="shared" si="82"/>
        <v>100</v>
      </c>
    </row>
    <row r="867" spans="1:8" ht="39.75" customHeight="1">
      <c r="A867" s="50"/>
      <c r="B867" s="50"/>
      <c r="C867" s="65"/>
      <c r="D867" s="69" t="s">
        <v>7</v>
      </c>
      <c r="E867" s="66" t="s">
        <v>549</v>
      </c>
      <c r="F867" s="215">
        <f>121.3-93.3</f>
        <v>28</v>
      </c>
      <c r="G867" s="215">
        <f>121.3-93.3</f>
        <v>28</v>
      </c>
      <c r="H867" s="62">
        <f t="shared" si="82"/>
        <v>100</v>
      </c>
    </row>
    <row r="868" spans="1:8" ht="38.25">
      <c r="A868" s="50"/>
      <c r="B868" s="50"/>
      <c r="C868" s="65"/>
      <c r="D868" s="65" t="s">
        <v>35</v>
      </c>
      <c r="E868" s="66" t="s">
        <v>83</v>
      </c>
      <c r="F868" s="215">
        <f>963.1+353.4+0.1</f>
        <v>1316.6</v>
      </c>
      <c r="G868" s="215">
        <f>963.1+353.4+0.1</f>
        <v>1316.6</v>
      </c>
      <c r="H868" s="62">
        <f t="shared" si="82"/>
        <v>100</v>
      </c>
    </row>
    <row r="869" spans="1:8" ht="25.5">
      <c r="A869" s="50"/>
      <c r="B869" s="50"/>
      <c r="C869" s="65" t="s">
        <v>659</v>
      </c>
      <c r="D869" s="50"/>
      <c r="E869" s="88" t="s">
        <v>315</v>
      </c>
      <c r="F869" s="215">
        <f>+F870+F871</f>
        <v>2085.5</v>
      </c>
      <c r="G869" s="215">
        <f>+G870+G871</f>
        <v>2085.5</v>
      </c>
      <c r="H869" s="62">
        <f t="shared" si="82"/>
        <v>100</v>
      </c>
    </row>
    <row r="870" spans="1:8" ht="25.5">
      <c r="A870" s="50"/>
      <c r="B870" s="50"/>
      <c r="C870" s="65"/>
      <c r="D870" s="69" t="s">
        <v>14</v>
      </c>
      <c r="E870" s="73" t="s">
        <v>15</v>
      </c>
      <c r="F870" s="215">
        <f>884+227.3+54.4-107.5</f>
        <v>1058.2</v>
      </c>
      <c r="G870" s="215">
        <f>884+227.3+54.4-107.5</f>
        <v>1058.2</v>
      </c>
      <c r="H870" s="62">
        <f t="shared" si="82"/>
        <v>100</v>
      </c>
    </row>
    <row r="871" spans="1:8" ht="38.25">
      <c r="A871" s="50"/>
      <c r="B871" s="50"/>
      <c r="C871" s="65"/>
      <c r="D871" s="69" t="s">
        <v>35</v>
      </c>
      <c r="E871" s="73" t="s">
        <v>36</v>
      </c>
      <c r="F871" s="215">
        <f>1054.9-27.6</f>
        <v>1027.3000000000002</v>
      </c>
      <c r="G871" s="215">
        <f>1054.9-27.6</f>
        <v>1027.3000000000002</v>
      </c>
      <c r="H871" s="62">
        <f t="shared" si="82"/>
        <v>100</v>
      </c>
    </row>
    <row r="872" spans="1:8" ht="15">
      <c r="A872" s="50"/>
      <c r="B872" s="65" t="s">
        <v>50</v>
      </c>
      <c r="C872" s="50"/>
      <c r="D872" s="65"/>
      <c r="E872" s="66" t="s">
        <v>51</v>
      </c>
      <c r="F872" s="215">
        <f>F873+F896</f>
        <v>8977.699999999999</v>
      </c>
      <c r="G872" s="215">
        <f>G873+G896</f>
        <v>8977.699999999999</v>
      </c>
      <c r="H872" s="62">
        <f t="shared" si="82"/>
        <v>100</v>
      </c>
    </row>
    <row r="873" spans="1:8" ht="38.25">
      <c r="A873" s="50"/>
      <c r="B873" s="50"/>
      <c r="C873" s="65" t="s">
        <v>237</v>
      </c>
      <c r="D873" s="49"/>
      <c r="E873" s="68" t="s">
        <v>82</v>
      </c>
      <c r="F873" s="215">
        <f>F874+F879+F885</f>
        <v>8772.8</v>
      </c>
      <c r="G873" s="215">
        <f>G874+G879+G885</f>
        <v>8772.8</v>
      </c>
      <c r="H873" s="62">
        <f t="shared" si="82"/>
        <v>100</v>
      </c>
    </row>
    <row r="874" spans="1:8" ht="25.5">
      <c r="A874" s="50"/>
      <c r="B874" s="50"/>
      <c r="C874" s="65" t="s">
        <v>238</v>
      </c>
      <c r="D874" s="49"/>
      <c r="E874" s="68" t="s">
        <v>239</v>
      </c>
      <c r="F874" s="215">
        <f>F875</f>
        <v>39.3</v>
      </c>
      <c r="G874" s="215">
        <f>G875</f>
        <v>39.3</v>
      </c>
      <c r="H874" s="62">
        <f t="shared" si="82"/>
        <v>100</v>
      </c>
    </row>
    <row r="875" spans="1:8" ht="29.25" customHeight="1">
      <c r="A875" s="50"/>
      <c r="B875" s="50"/>
      <c r="C875" s="65" t="s">
        <v>302</v>
      </c>
      <c r="D875" s="50"/>
      <c r="E875" s="68" t="s">
        <v>303</v>
      </c>
      <c r="F875" s="215">
        <f>F876</f>
        <v>39.3</v>
      </c>
      <c r="G875" s="215">
        <f>G876</f>
        <v>39.3</v>
      </c>
      <c r="H875" s="62">
        <f t="shared" si="82"/>
        <v>100</v>
      </c>
    </row>
    <row r="876" spans="1:8" ht="38.25">
      <c r="A876" s="50"/>
      <c r="B876" s="50"/>
      <c r="C876" s="65" t="s">
        <v>650</v>
      </c>
      <c r="D876" s="65"/>
      <c r="E876" s="68" t="s">
        <v>649</v>
      </c>
      <c r="F876" s="215">
        <f>F877+F878</f>
        <v>39.3</v>
      </c>
      <c r="G876" s="215">
        <f>G877+G878</f>
        <v>39.3</v>
      </c>
      <c r="H876" s="62">
        <f t="shared" si="82"/>
        <v>100</v>
      </c>
    </row>
    <row r="877" spans="1:8" ht="40.5" customHeight="1">
      <c r="A877" s="50"/>
      <c r="B877" s="50"/>
      <c r="C877" s="65"/>
      <c r="D877" s="69" t="s">
        <v>7</v>
      </c>
      <c r="E877" s="66" t="s">
        <v>549</v>
      </c>
      <c r="F877" s="215">
        <f>23.8-13.6</f>
        <v>10.200000000000001</v>
      </c>
      <c r="G877" s="215">
        <f>23.8-13.6</f>
        <v>10.200000000000001</v>
      </c>
      <c r="H877" s="62">
        <f t="shared" si="82"/>
        <v>100</v>
      </c>
    </row>
    <row r="878" spans="1:8" ht="38.25">
      <c r="A878" s="50"/>
      <c r="B878" s="65"/>
      <c r="C878" s="50"/>
      <c r="D878" s="65" t="s">
        <v>35</v>
      </c>
      <c r="E878" s="66" t="s">
        <v>83</v>
      </c>
      <c r="F878" s="215">
        <f>47.8-18.7</f>
        <v>29.099999999999998</v>
      </c>
      <c r="G878" s="215">
        <f>47.8-18.7</f>
        <v>29.099999999999998</v>
      </c>
      <c r="H878" s="62">
        <f t="shared" si="82"/>
        <v>100</v>
      </c>
    </row>
    <row r="879" spans="1:8" ht="38.25">
      <c r="A879" s="50"/>
      <c r="B879" s="50"/>
      <c r="C879" s="65" t="s">
        <v>249</v>
      </c>
      <c r="D879" s="50"/>
      <c r="E879" s="68" t="s">
        <v>250</v>
      </c>
      <c r="F879" s="215">
        <f>F880</f>
        <v>162.10000000000002</v>
      </c>
      <c r="G879" s="215">
        <f>G880</f>
        <v>162.10000000000002</v>
      </c>
      <c r="H879" s="62">
        <f t="shared" si="82"/>
        <v>100</v>
      </c>
    </row>
    <row r="880" spans="1:8" ht="51">
      <c r="A880" s="50"/>
      <c r="B880" s="50"/>
      <c r="C880" s="65" t="s">
        <v>251</v>
      </c>
      <c r="D880" s="65"/>
      <c r="E880" s="66" t="s">
        <v>252</v>
      </c>
      <c r="F880" s="215">
        <f>F881</f>
        <v>162.10000000000002</v>
      </c>
      <c r="G880" s="215">
        <f>G881</f>
        <v>162.10000000000002</v>
      </c>
      <c r="H880" s="62">
        <f t="shared" si="82"/>
        <v>100</v>
      </c>
    </row>
    <row r="881" spans="1:8" ht="51">
      <c r="A881" s="50"/>
      <c r="B881" s="50"/>
      <c r="C881" s="65" t="s">
        <v>316</v>
      </c>
      <c r="D881" s="50"/>
      <c r="E881" s="68" t="s">
        <v>660</v>
      </c>
      <c r="F881" s="215">
        <f>+F882+F883+F884</f>
        <v>162.10000000000002</v>
      </c>
      <c r="G881" s="215">
        <f>+G882+G883+G884</f>
        <v>162.10000000000002</v>
      </c>
      <c r="H881" s="62">
        <f t="shared" si="82"/>
        <v>100</v>
      </c>
    </row>
    <row r="882" spans="1:8" ht="40.5" customHeight="1">
      <c r="A882" s="50"/>
      <c r="B882" s="50"/>
      <c r="C882" s="65"/>
      <c r="D882" s="69" t="s">
        <v>7</v>
      </c>
      <c r="E882" s="66" t="s">
        <v>549</v>
      </c>
      <c r="F882" s="215">
        <f>285.3-71.9-130.1</f>
        <v>83.30000000000001</v>
      </c>
      <c r="G882" s="215">
        <f>285.3-71.9-130.1</f>
        <v>83.30000000000001</v>
      </c>
      <c r="H882" s="62">
        <f t="shared" si="82"/>
        <v>100</v>
      </c>
    </row>
    <row r="883" spans="1:8" ht="25.5">
      <c r="A883" s="50"/>
      <c r="B883" s="50"/>
      <c r="C883" s="65"/>
      <c r="D883" s="69" t="s">
        <v>14</v>
      </c>
      <c r="E883" s="73" t="s">
        <v>15</v>
      </c>
      <c r="F883" s="215">
        <f>133-102</f>
        <v>31</v>
      </c>
      <c r="G883" s="215">
        <f>133-102</f>
        <v>31</v>
      </c>
      <c r="H883" s="62">
        <f t="shared" si="82"/>
        <v>100</v>
      </c>
    </row>
    <row r="884" spans="1:8" ht="38.25">
      <c r="A884" s="50"/>
      <c r="B884" s="50"/>
      <c r="C884" s="65"/>
      <c r="D884" s="65" t="s">
        <v>35</v>
      </c>
      <c r="E884" s="66" t="s">
        <v>83</v>
      </c>
      <c r="F884" s="215">
        <v>47.8</v>
      </c>
      <c r="G884" s="215">
        <v>47.8</v>
      </c>
      <c r="H884" s="62">
        <f t="shared" si="82"/>
        <v>100</v>
      </c>
    </row>
    <row r="885" spans="1:8" ht="27.75" customHeight="1">
      <c r="A885" s="50"/>
      <c r="B885" s="50"/>
      <c r="C885" s="65" t="s">
        <v>317</v>
      </c>
      <c r="D885" s="65"/>
      <c r="E885" s="66" t="s">
        <v>284</v>
      </c>
      <c r="F885" s="215">
        <f>F886</f>
        <v>8571.4</v>
      </c>
      <c r="G885" s="215">
        <f>G886</f>
        <v>8571.4</v>
      </c>
      <c r="H885" s="62">
        <f t="shared" si="82"/>
        <v>100</v>
      </c>
    </row>
    <row r="886" spans="1:8" ht="51">
      <c r="A886" s="50"/>
      <c r="B886" s="50"/>
      <c r="C886" s="65" t="s">
        <v>318</v>
      </c>
      <c r="D886" s="50"/>
      <c r="E886" s="68" t="s">
        <v>661</v>
      </c>
      <c r="F886" s="215">
        <f>F887+F891</f>
        <v>8571.4</v>
      </c>
      <c r="G886" s="215">
        <f>G887+G891</f>
        <v>8571.4</v>
      </c>
      <c r="H886" s="62">
        <f t="shared" si="82"/>
        <v>100</v>
      </c>
    </row>
    <row r="887" spans="1:8" ht="25.5">
      <c r="A887" s="50"/>
      <c r="B887" s="50"/>
      <c r="C887" s="65" t="s">
        <v>319</v>
      </c>
      <c r="D887" s="65"/>
      <c r="E887" s="66" t="s">
        <v>174</v>
      </c>
      <c r="F887" s="215">
        <f>F888+F889+F890</f>
        <v>2564.9999999999995</v>
      </c>
      <c r="G887" s="215">
        <f>G888+G889+G890</f>
        <v>2564.9999999999995</v>
      </c>
      <c r="H887" s="62">
        <f t="shared" si="82"/>
        <v>100</v>
      </c>
    </row>
    <row r="888" spans="1:8" ht="81" customHeight="1">
      <c r="A888" s="50"/>
      <c r="B888" s="50"/>
      <c r="C888" s="65"/>
      <c r="D888" s="65" t="s">
        <v>4</v>
      </c>
      <c r="E888" s="66" t="s">
        <v>114</v>
      </c>
      <c r="F888" s="215">
        <f>3418.1+804.4-253.4-1429.7</f>
        <v>2539.3999999999996</v>
      </c>
      <c r="G888" s="215">
        <f>3418.1+804.4-253.4-1429.7</f>
        <v>2539.3999999999996</v>
      </c>
      <c r="H888" s="62">
        <f t="shared" si="82"/>
        <v>100</v>
      </c>
    </row>
    <row r="889" spans="1:8" ht="39.75" customHeight="1">
      <c r="A889" s="50"/>
      <c r="B889" s="50"/>
      <c r="C889" s="65"/>
      <c r="D889" s="69" t="s">
        <v>7</v>
      </c>
      <c r="E889" s="66" t="s">
        <v>549</v>
      </c>
      <c r="F889" s="215">
        <f>118.8-6-87.3</f>
        <v>25.5</v>
      </c>
      <c r="G889" s="215">
        <f>118.8-6-87.3</f>
        <v>25.5</v>
      </c>
      <c r="H889" s="62">
        <f aca="true" t="shared" si="85" ref="H889:H952">G889/F889*100</f>
        <v>100</v>
      </c>
    </row>
    <row r="890" spans="1:8" ht="15">
      <c r="A890" s="50"/>
      <c r="B890" s="50"/>
      <c r="C890" s="50"/>
      <c r="D890" s="65" t="s">
        <v>8</v>
      </c>
      <c r="E890" s="66" t="s">
        <v>9</v>
      </c>
      <c r="F890" s="215">
        <f>0.2-0.1</f>
        <v>0.1</v>
      </c>
      <c r="G890" s="215">
        <f>0.2-0.1</f>
        <v>0.1</v>
      </c>
      <c r="H890" s="62">
        <f t="shared" si="85"/>
        <v>100</v>
      </c>
    </row>
    <row r="891" spans="1:8" ht="51">
      <c r="A891" s="50"/>
      <c r="B891" s="50"/>
      <c r="C891" s="65" t="s">
        <v>320</v>
      </c>
      <c r="D891" s="65"/>
      <c r="E891" s="66" t="s">
        <v>201</v>
      </c>
      <c r="F891" s="215">
        <f>F892+F893+F894+F895</f>
        <v>6006.400000000001</v>
      </c>
      <c r="G891" s="215">
        <f>G892+G893+G894+G895</f>
        <v>6006.400000000001</v>
      </c>
      <c r="H891" s="62">
        <f t="shared" si="85"/>
        <v>100</v>
      </c>
    </row>
    <row r="892" spans="1:8" ht="76.5" customHeight="1">
      <c r="A892" s="50"/>
      <c r="B892" s="50"/>
      <c r="C892" s="65"/>
      <c r="D892" s="65" t="s">
        <v>4</v>
      </c>
      <c r="E892" s="66" t="s">
        <v>114</v>
      </c>
      <c r="F892" s="215">
        <f>3883.1+362.2-1979.1</f>
        <v>2266.2000000000003</v>
      </c>
      <c r="G892" s="215">
        <f>3883.1+362.2-1979.1</f>
        <v>2266.2000000000003</v>
      </c>
      <c r="H892" s="62">
        <f t="shared" si="85"/>
        <v>100</v>
      </c>
    </row>
    <row r="893" spans="1:8" ht="40.5" customHeight="1">
      <c r="A893" s="50"/>
      <c r="B893" s="50"/>
      <c r="C893" s="50"/>
      <c r="D893" s="69" t="s">
        <v>7</v>
      </c>
      <c r="E893" s="66" t="s">
        <v>549</v>
      </c>
      <c r="F893" s="215">
        <f>557.7-10.6-250.6</f>
        <v>296.5</v>
      </c>
      <c r="G893" s="215">
        <f>557.7-10.6-250.6</f>
        <v>296.5</v>
      </c>
      <c r="H893" s="62">
        <f t="shared" si="85"/>
        <v>100</v>
      </c>
    </row>
    <row r="894" spans="1:8" ht="38.25">
      <c r="A894" s="50"/>
      <c r="B894" s="50"/>
      <c r="C894" s="50"/>
      <c r="D894" s="69" t="s">
        <v>35</v>
      </c>
      <c r="E894" s="73" t="s">
        <v>36</v>
      </c>
      <c r="F894" s="215">
        <f>5111.4+37.9+638.3-2345.7</f>
        <v>3441.8999999999996</v>
      </c>
      <c r="G894" s="215">
        <f>5111.4+37.9+638.3-2345.7</f>
        <v>3441.8999999999996</v>
      </c>
      <c r="H894" s="62">
        <f t="shared" si="85"/>
        <v>100</v>
      </c>
    </row>
    <row r="895" spans="1:8" ht="15">
      <c r="A895" s="50"/>
      <c r="B895" s="50"/>
      <c r="C895" s="50"/>
      <c r="D895" s="76" t="s">
        <v>8</v>
      </c>
      <c r="E895" s="73" t="s">
        <v>9</v>
      </c>
      <c r="F895" s="215">
        <f>2+0.8-1</f>
        <v>1.7999999999999998</v>
      </c>
      <c r="G895" s="215">
        <f>2+0.8-1</f>
        <v>1.7999999999999998</v>
      </c>
      <c r="H895" s="62">
        <f t="shared" si="85"/>
        <v>100</v>
      </c>
    </row>
    <row r="896" spans="1:8" ht="51">
      <c r="A896" s="50"/>
      <c r="B896" s="50"/>
      <c r="C896" s="65" t="s">
        <v>202</v>
      </c>
      <c r="D896" s="49"/>
      <c r="E896" s="68" t="s">
        <v>543</v>
      </c>
      <c r="F896" s="215">
        <f>F897</f>
        <v>204.90000000000003</v>
      </c>
      <c r="G896" s="215">
        <f>G897</f>
        <v>204.90000000000003</v>
      </c>
      <c r="H896" s="62">
        <f t="shared" si="85"/>
        <v>100</v>
      </c>
    </row>
    <row r="897" spans="1:8" ht="25.5">
      <c r="A897" s="50"/>
      <c r="B897" s="50"/>
      <c r="C897" s="65" t="s">
        <v>210</v>
      </c>
      <c r="D897" s="65"/>
      <c r="E897" s="66" t="s">
        <v>544</v>
      </c>
      <c r="F897" s="215">
        <f>F898+F907</f>
        <v>204.90000000000003</v>
      </c>
      <c r="G897" s="215">
        <f>G898+G907</f>
        <v>204.90000000000003</v>
      </c>
      <c r="H897" s="62">
        <f t="shared" si="85"/>
        <v>100</v>
      </c>
    </row>
    <row r="898" spans="1:8" ht="38.25">
      <c r="A898" s="50"/>
      <c r="B898" s="50"/>
      <c r="C898" s="65" t="s">
        <v>545</v>
      </c>
      <c r="D898" s="69"/>
      <c r="E898" s="73" t="s">
        <v>546</v>
      </c>
      <c r="F898" s="215">
        <f>F899+F901+F903+F905</f>
        <v>120.60000000000001</v>
      </c>
      <c r="G898" s="215">
        <f>G899+G901+G903+G905</f>
        <v>120.60000000000001</v>
      </c>
      <c r="H898" s="62">
        <f t="shared" si="85"/>
        <v>100</v>
      </c>
    </row>
    <row r="899" spans="1:8" ht="25.5" customHeight="1">
      <c r="A899" s="50"/>
      <c r="B899" s="50"/>
      <c r="C899" s="65" t="s">
        <v>558</v>
      </c>
      <c r="D899" s="49"/>
      <c r="E899" s="68" t="s">
        <v>559</v>
      </c>
      <c r="F899" s="215">
        <f>F900</f>
        <v>58.8</v>
      </c>
      <c r="G899" s="215">
        <f>G900</f>
        <v>58.8</v>
      </c>
      <c r="H899" s="62">
        <f t="shared" si="85"/>
        <v>100</v>
      </c>
    </row>
    <row r="900" spans="1:8" ht="39.75" customHeight="1">
      <c r="A900" s="50"/>
      <c r="B900" s="50"/>
      <c r="C900" s="65"/>
      <c r="D900" s="69" t="s">
        <v>7</v>
      </c>
      <c r="E900" s="66" t="s">
        <v>549</v>
      </c>
      <c r="F900" s="215">
        <f>60-1.2</f>
        <v>58.8</v>
      </c>
      <c r="G900" s="215">
        <f>60-1.2</f>
        <v>58.8</v>
      </c>
      <c r="H900" s="62">
        <f t="shared" si="85"/>
        <v>100</v>
      </c>
    </row>
    <row r="901" spans="1:8" ht="38.25">
      <c r="A901" s="50"/>
      <c r="B901" s="50"/>
      <c r="C901" s="65" t="s">
        <v>547</v>
      </c>
      <c r="D901" s="65"/>
      <c r="E901" s="66" t="s">
        <v>548</v>
      </c>
      <c r="F901" s="215">
        <f>F902</f>
        <v>1.4</v>
      </c>
      <c r="G901" s="215">
        <f>G902</f>
        <v>1.4</v>
      </c>
      <c r="H901" s="62">
        <f t="shared" si="85"/>
        <v>100</v>
      </c>
    </row>
    <row r="902" spans="1:8" ht="41.25" customHeight="1">
      <c r="A902" s="50"/>
      <c r="B902" s="50"/>
      <c r="C902" s="65"/>
      <c r="D902" s="69" t="s">
        <v>7</v>
      </c>
      <c r="E902" s="66" t="s">
        <v>549</v>
      </c>
      <c r="F902" s="215">
        <f>4-2.6</f>
        <v>1.4</v>
      </c>
      <c r="G902" s="215">
        <f>4-2.6</f>
        <v>1.4</v>
      </c>
      <c r="H902" s="62">
        <f t="shared" si="85"/>
        <v>100</v>
      </c>
    </row>
    <row r="903" spans="1:8" ht="25.5">
      <c r="A903" s="50"/>
      <c r="B903" s="50"/>
      <c r="C903" s="65" t="s">
        <v>550</v>
      </c>
      <c r="D903" s="65"/>
      <c r="E903" s="66" t="s">
        <v>551</v>
      </c>
      <c r="F903" s="215">
        <f>F904</f>
        <v>54.2</v>
      </c>
      <c r="G903" s="215">
        <f>G904</f>
        <v>54.2</v>
      </c>
      <c r="H903" s="62">
        <f t="shared" si="85"/>
        <v>100</v>
      </c>
    </row>
    <row r="904" spans="1:8" ht="38.25" customHeight="1">
      <c r="A904" s="50"/>
      <c r="B904" s="50"/>
      <c r="C904" s="65"/>
      <c r="D904" s="69" t="s">
        <v>7</v>
      </c>
      <c r="E904" s="66" t="s">
        <v>549</v>
      </c>
      <c r="F904" s="215">
        <f>25+54.2-25</f>
        <v>54.2</v>
      </c>
      <c r="G904" s="215">
        <f>25+54.2-25</f>
        <v>54.2</v>
      </c>
      <c r="H904" s="62">
        <f t="shared" si="85"/>
        <v>100</v>
      </c>
    </row>
    <row r="905" spans="1:8" ht="38.25">
      <c r="A905" s="50"/>
      <c r="B905" s="50"/>
      <c r="C905" s="65" t="s">
        <v>552</v>
      </c>
      <c r="D905" s="65"/>
      <c r="E905" s="66" t="s">
        <v>553</v>
      </c>
      <c r="F905" s="215">
        <f>F906</f>
        <v>6.199999999999999</v>
      </c>
      <c r="G905" s="215">
        <f>G906</f>
        <v>6.199999999999999</v>
      </c>
      <c r="H905" s="62">
        <f t="shared" si="85"/>
        <v>100</v>
      </c>
    </row>
    <row r="906" spans="1:8" ht="39.75" customHeight="1">
      <c r="A906" s="50"/>
      <c r="B906" s="50"/>
      <c r="C906" s="65"/>
      <c r="D906" s="69" t="s">
        <v>7</v>
      </c>
      <c r="E906" s="66" t="s">
        <v>549</v>
      </c>
      <c r="F906" s="215">
        <f>7+7.2-8</f>
        <v>6.199999999999999</v>
      </c>
      <c r="G906" s="215">
        <f>7+7.2-8</f>
        <v>6.199999999999999</v>
      </c>
      <c r="H906" s="62">
        <f t="shared" si="85"/>
        <v>100</v>
      </c>
    </row>
    <row r="907" spans="1:8" ht="38.25">
      <c r="A907" s="50"/>
      <c r="B907" s="50"/>
      <c r="C907" s="65" t="s">
        <v>554</v>
      </c>
      <c r="D907" s="65"/>
      <c r="E907" s="66" t="s">
        <v>555</v>
      </c>
      <c r="F907" s="215">
        <f>F908</f>
        <v>84.30000000000001</v>
      </c>
      <c r="G907" s="215">
        <f>G908</f>
        <v>84.30000000000001</v>
      </c>
      <c r="H907" s="62">
        <f t="shared" si="85"/>
        <v>100</v>
      </c>
    </row>
    <row r="908" spans="1:8" ht="25.5">
      <c r="A908" s="50"/>
      <c r="B908" s="50"/>
      <c r="C908" s="65" t="s">
        <v>556</v>
      </c>
      <c r="D908" s="65"/>
      <c r="E908" s="66" t="s">
        <v>557</v>
      </c>
      <c r="F908" s="215">
        <f>F909</f>
        <v>84.30000000000001</v>
      </c>
      <c r="G908" s="215">
        <f>G909</f>
        <v>84.30000000000001</v>
      </c>
      <c r="H908" s="62">
        <f t="shared" si="85"/>
        <v>100</v>
      </c>
    </row>
    <row r="909" spans="1:8" ht="37.5" customHeight="1">
      <c r="A909" s="50"/>
      <c r="B909" s="50"/>
      <c r="C909" s="65"/>
      <c r="D909" s="69" t="s">
        <v>7</v>
      </c>
      <c r="E909" s="66" t="s">
        <v>549</v>
      </c>
      <c r="F909" s="215">
        <f>138.3-54</f>
        <v>84.30000000000001</v>
      </c>
      <c r="G909" s="215">
        <f>138.3-54</f>
        <v>84.30000000000001</v>
      </c>
      <c r="H909" s="62">
        <f t="shared" si="85"/>
        <v>100</v>
      </c>
    </row>
    <row r="910" spans="1:8" ht="15">
      <c r="A910" s="50"/>
      <c r="B910" s="76" t="s">
        <v>57</v>
      </c>
      <c r="C910" s="50"/>
      <c r="D910" s="65"/>
      <c r="E910" s="72" t="s">
        <v>73</v>
      </c>
      <c r="F910" s="215">
        <f>F911+F930</f>
        <v>7619.100000000001</v>
      </c>
      <c r="G910" s="215">
        <f>G911+G930</f>
        <v>7619.100000000001</v>
      </c>
      <c r="H910" s="62">
        <f t="shared" si="85"/>
        <v>100</v>
      </c>
    </row>
    <row r="911" spans="1:8" ht="15">
      <c r="A911" s="50"/>
      <c r="B911" s="76">
        <v>1003</v>
      </c>
      <c r="C911" s="50"/>
      <c r="D911" s="65"/>
      <c r="E911" s="66" t="s">
        <v>61</v>
      </c>
      <c r="F911" s="215">
        <f>F912+F925</f>
        <v>6560.800000000001</v>
      </c>
      <c r="G911" s="215">
        <f>G912+G925</f>
        <v>6560.800000000001</v>
      </c>
      <c r="H911" s="62">
        <f t="shared" si="85"/>
        <v>100</v>
      </c>
    </row>
    <row r="912" spans="1:8" ht="38.25">
      <c r="A912" s="50"/>
      <c r="B912" s="50"/>
      <c r="C912" s="65" t="s">
        <v>237</v>
      </c>
      <c r="D912" s="49"/>
      <c r="E912" s="68" t="s">
        <v>82</v>
      </c>
      <c r="F912" s="215">
        <f>F913+F918</f>
        <v>6498.300000000001</v>
      </c>
      <c r="G912" s="215">
        <f>G913+G918</f>
        <v>6498.300000000001</v>
      </c>
      <c r="H912" s="62">
        <f t="shared" si="85"/>
        <v>100</v>
      </c>
    </row>
    <row r="913" spans="1:8" ht="38.25">
      <c r="A913" s="50"/>
      <c r="B913" s="50"/>
      <c r="C913" s="65" t="s">
        <v>244</v>
      </c>
      <c r="D913" s="65"/>
      <c r="E913" s="66" t="s">
        <v>245</v>
      </c>
      <c r="F913" s="215">
        <f>F914</f>
        <v>3684.300000000001</v>
      </c>
      <c r="G913" s="215">
        <f>G914</f>
        <v>3684.300000000001</v>
      </c>
      <c r="H913" s="62">
        <f t="shared" si="85"/>
        <v>100</v>
      </c>
    </row>
    <row r="914" spans="1:8" ht="26.25" customHeight="1">
      <c r="A914" s="50"/>
      <c r="B914" s="50"/>
      <c r="C914" s="65" t="s">
        <v>306</v>
      </c>
      <c r="D914" s="65"/>
      <c r="E914" s="66" t="s">
        <v>303</v>
      </c>
      <c r="F914" s="215">
        <f>F915</f>
        <v>3684.300000000001</v>
      </c>
      <c r="G914" s="215">
        <f>G915</f>
        <v>3684.300000000001</v>
      </c>
      <c r="H914" s="62">
        <f t="shared" si="85"/>
        <v>100</v>
      </c>
    </row>
    <row r="915" spans="1:8" ht="38.25">
      <c r="A915" s="50"/>
      <c r="B915" s="50"/>
      <c r="C915" s="65" t="s">
        <v>652</v>
      </c>
      <c r="D915" s="65"/>
      <c r="E915" s="68" t="s">
        <v>649</v>
      </c>
      <c r="F915" s="215">
        <f>F916+F917</f>
        <v>3684.300000000001</v>
      </c>
      <c r="G915" s="215">
        <f>G916+G917</f>
        <v>3684.300000000001</v>
      </c>
      <c r="H915" s="62">
        <f t="shared" si="85"/>
        <v>100</v>
      </c>
    </row>
    <row r="916" spans="1:8" ht="25.5">
      <c r="A916" s="50"/>
      <c r="B916" s="50"/>
      <c r="C916" s="65"/>
      <c r="D916" s="69" t="s">
        <v>14</v>
      </c>
      <c r="E916" s="73" t="s">
        <v>15</v>
      </c>
      <c r="F916" s="215">
        <f>670.3+190.3-2.8+5.2-857.8</f>
        <v>5.2000000000000455</v>
      </c>
      <c r="G916" s="215">
        <f>670.3+190.3-2.8+5.2-857.8</f>
        <v>5.2000000000000455</v>
      </c>
      <c r="H916" s="62">
        <f t="shared" si="85"/>
        <v>100</v>
      </c>
    </row>
    <row r="917" spans="1:8" ht="38.25">
      <c r="A917" s="50"/>
      <c r="B917" s="50"/>
      <c r="C917" s="65"/>
      <c r="D917" s="65" t="s">
        <v>35</v>
      </c>
      <c r="E917" s="66" t="s">
        <v>83</v>
      </c>
      <c r="F917" s="215">
        <f>2981.9+3472.8+2.8-5.2-2773.2</f>
        <v>3679.1000000000013</v>
      </c>
      <c r="G917" s="215">
        <f>2981.9+3472.8+2.8-5.2-2773.2</f>
        <v>3679.1000000000013</v>
      </c>
      <c r="H917" s="62">
        <f t="shared" si="85"/>
        <v>100</v>
      </c>
    </row>
    <row r="918" spans="1:8" ht="27" customHeight="1">
      <c r="A918" s="50"/>
      <c r="B918" s="50"/>
      <c r="C918" s="65" t="s">
        <v>317</v>
      </c>
      <c r="D918" s="65"/>
      <c r="E918" s="66" t="s">
        <v>284</v>
      </c>
      <c r="F918" s="215">
        <f>F919</f>
        <v>2813.9999999999995</v>
      </c>
      <c r="G918" s="215">
        <f>G919</f>
        <v>2813.9999999999995</v>
      </c>
      <c r="H918" s="62">
        <f t="shared" si="85"/>
        <v>100</v>
      </c>
    </row>
    <row r="919" spans="1:8" ht="38.25">
      <c r="A919" s="50"/>
      <c r="B919" s="50"/>
      <c r="C919" s="49" t="s">
        <v>321</v>
      </c>
      <c r="D919" s="65"/>
      <c r="E919" s="66" t="s">
        <v>322</v>
      </c>
      <c r="F919" s="215">
        <f>+F920+F923</f>
        <v>2813.9999999999995</v>
      </c>
      <c r="G919" s="215">
        <f>+G920+G923</f>
        <v>2813.9999999999995</v>
      </c>
      <c r="H919" s="62">
        <f t="shared" si="85"/>
        <v>100</v>
      </c>
    </row>
    <row r="920" spans="1:8" ht="117" customHeight="1">
      <c r="A920" s="50"/>
      <c r="B920" s="76"/>
      <c r="C920" s="74" t="s">
        <v>662</v>
      </c>
      <c r="D920" s="65"/>
      <c r="E920" s="66" t="s">
        <v>663</v>
      </c>
      <c r="F920" s="215">
        <f>F921+F922</f>
        <v>2640.0999999999995</v>
      </c>
      <c r="G920" s="215">
        <f>G921+G922</f>
        <v>2640.0999999999995</v>
      </c>
      <c r="H920" s="62">
        <f t="shared" si="85"/>
        <v>100</v>
      </c>
    </row>
    <row r="921" spans="1:8" ht="25.5">
      <c r="A921" s="50"/>
      <c r="B921" s="76"/>
      <c r="C921" s="89"/>
      <c r="D921" s="69" t="s">
        <v>14</v>
      </c>
      <c r="E921" s="73" t="s">
        <v>15</v>
      </c>
      <c r="F921" s="215">
        <f>1507.6-794.3</f>
        <v>713.3</v>
      </c>
      <c r="G921" s="215">
        <f>1507.6-794.3</f>
        <v>713.3</v>
      </c>
      <c r="H921" s="62">
        <f t="shared" si="85"/>
        <v>100</v>
      </c>
    </row>
    <row r="922" spans="1:8" ht="38.25">
      <c r="A922" s="50"/>
      <c r="B922" s="76"/>
      <c r="C922" s="89"/>
      <c r="D922" s="69" t="s">
        <v>35</v>
      </c>
      <c r="E922" s="73" t="s">
        <v>36</v>
      </c>
      <c r="F922" s="215">
        <f>3365.2-1438.4</f>
        <v>1926.7999999999997</v>
      </c>
      <c r="G922" s="215">
        <f>3365.2-1438.4</f>
        <v>1926.7999999999997</v>
      </c>
      <c r="H922" s="62">
        <f t="shared" si="85"/>
        <v>100</v>
      </c>
    </row>
    <row r="923" spans="1:8" ht="52.5" customHeight="1">
      <c r="A923" s="50"/>
      <c r="B923" s="50"/>
      <c r="C923" s="74" t="s">
        <v>664</v>
      </c>
      <c r="D923" s="50"/>
      <c r="E923" s="68" t="s">
        <v>665</v>
      </c>
      <c r="F923" s="215">
        <f>F924</f>
        <v>173.9</v>
      </c>
      <c r="G923" s="215">
        <f>G924</f>
        <v>173.9</v>
      </c>
      <c r="H923" s="62">
        <f t="shared" si="85"/>
        <v>100</v>
      </c>
    </row>
    <row r="924" spans="1:8" ht="25.5">
      <c r="A924" s="50"/>
      <c r="B924" s="50"/>
      <c r="C924" s="65"/>
      <c r="D924" s="69" t="s">
        <v>14</v>
      </c>
      <c r="E924" s="73" t="s">
        <v>15</v>
      </c>
      <c r="F924" s="215">
        <f>75.2+106.2-7.5</f>
        <v>173.9</v>
      </c>
      <c r="G924" s="215">
        <f>75.2+106.2-7.5</f>
        <v>173.9</v>
      </c>
      <c r="H924" s="62">
        <f t="shared" si="85"/>
        <v>100</v>
      </c>
    </row>
    <row r="925" spans="1:8" ht="65.25" customHeight="1">
      <c r="A925" s="50"/>
      <c r="B925" s="50"/>
      <c r="C925" s="65" t="s">
        <v>615</v>
      </c>
      <c r="D925" s="49"/>
      <c r="E925" s="66" t="s">
        <v>616</v>
      </c>
      <c r="F925" s="215">
        <f aca="true" t="shared" si="86" ref="F925:G928">F926</f>
        <v>62.5</v>
      </c>
      <c r="G925" s="215">
        <f t="shared" si="86"/>
        <v>62.5</v>
      </c>
      <c r="H925" s="62">
        <f t="shared" si="85"/>
        <v>100</v>
      </c>
    </row>
    <row r="926" spans="1:8" ht="51">
      <c r="A926" s="50"/>
      <c r="B926" s="50"/>
      <c r="C926" s="65" t="s">
        <v>653</v>
      </c>
      <c r="D926" s="50"/>
      <c r="E926" s="66" t="s">
        <v>654</v>
      </c>
      <c r="F926" s="215">
        <f t="shared" si="86"/>
        <v>62.5</v>
      </c>
      <c r="G926" s="215">
        <f t="shared" si="86"/>
        <v>62.5</v>
      </c>
      <c r="H926" s="62">
        <f t="shared" si="85"/>
        <v>100</v>
      </c>
    </row>
    <row r="927" spans="1:8" ht="66" customHeight="1">
      <c r="A927" s="50"/>
      <c r="B927" s="50"/>
      <c r="C927" s="65" t="s">
        <v>655</v>
      </c>
      <c r="D927" s="76"/>
      <c r="E927" s="73" t="s">
        <v>656</v>
      </c>
      <c r="F927" s="215">
        <f t="shared" si="86"/>
        <v>62.5</v>
      </c>
      <c r="G927" s="215">
        <f t="shared" si="86"/>
        <v>62.5</v>
      </c>
      <c r="H927" s="62">
        <f t="shared" si="85"/>
        <v>100</v>
      </c>
    </row>
    <row r="928" spans="1:8" ht="51" customHeight="1">
      <c r="A928" s="50"/>
      <c r="B928" s="50"/>
      <c r="C928" s="65" t="s">
        <v>375</v>
      </c>
      <c r="D928" s="50"/>
      <c r="E928" s="80" t="s">
        <v>376</v>
      </c>
      <c r="F928" s="215">
        <f t="shared" si="86"/>
        <v>62.5</v>
      </c>
      <c r="G928" s="215">
        <f t="shared" si="86"/>
        <v>62.5</v>
      </c>
      <c r="H928" s="62">
        <f t="shared" si="85"/>
        <v>100</v>
      </c>
    </row>
    <row r="929" spans="1:8" ht="25.5">
      <c r="A929" s="50"/>
      <c r="B929" s="50"/>
      <c r="C929" s="65"/>
      <c r="D929" s="76" t="s">
        <v>14</v>
      </c>
      <c r="E929" s="73" t="s">
        <v>15</v>
      </c>
      <c r="F929" s="215">
        <f>187.5-125</f>
        <v>62.5</v>
      </c>
      <c r="G929" s="215">
        <f>187.5-125</f>
        <v>62.5</v>
      </c>
      <c r="H929" s="62">
        <f t="shared" si="85"/>
        <v>100</v>
      </c>
    </row>
    <row r="930" spans="1:8" ht="15">
      <c r="A930" s="50"/>
      <c r="B930" s="76" t="s">
        <v>62</v>
      </c>
      <c r="C930" s="65"/>
      <c r="D930" s="65"/>
      <c r="E930" s="73" t="s">
        <v>89</v>
      </c>
      <c r="F930" s="215">
        <f aca="true" t="shared" si="87" ref="F930:G934">F931</f>
        <v>1058.3000000000002</v>
      </c>
      <c r="G930" s="215">
        <f t="shared" si="87"/>
        <v>1058.3000000000002</v>
      </c>
      <c r="H930" s="62">
        <f t="shared" si="85"/>
        <v>100</v>
      </c>
    </row>
    <row r="931" spans="1:8" ht="38.25">
      <c r="A931" s="50"/>
      <c r="B931" s="50"/>
      <c r="C931" s="65" t="s">
        <v>237</v>
      </c>
      <c r="D931" s="49"/>
      <c r="E931" s="68" t="s">
        <v>82</v>
      </c>
      <c r="F931" s="215">
        <f t="shared" si="87"/>
        <v>1058.3000000000002</v>
      </c>
      <c r="G931" s="215">
        <f t="shared" si="87"/>
        <v>1058.3000000000002</v>
      </c>
      <c r="H931" s="62">
        <f t="shared" si="85"/>
        <v>100</v>
      </c>
    </row>
    <row r="932" spans="1:8" ht="25.5">
      <c r="A932" s="50"/>
      <c r="B932" s="50"/>
      <c r="C932" s="65" t="s">
        <v>238</v>
      </c>
      <c r="D932" s="49"/>
      <c r="E932" s="68" t="s">
        <v>239</v>
      </c>
      <c r="F932" s="215">
        <f t="shared" si="87"/>
        <v>1058.3000000000002</v>
      </c>
      <c r="G932" s="215">
        <f t="shared" si="87"/>
        <v>1058.3000000000002</v>
      </c>
      <c r="H932" s="62">
        <f t="shared" si="85"/>
        <v>100</v>
      </c>
    </row>
    <row r="933" spans="1:8" ht="27" customHeight="1">
      <c r="A933" s="50"/>
      <c r="B933" s="50"/>
      <c r="C933" s="65" t="s">
        <v>302</v>
      </c>
      <c r="D933" s="50"/>
      <c r="E933" s="68" t="s">
        <v>303</v>
      </c>
      <c r="F933" s="215">
        <f t="shared" si="87"/>
        <v>1058.3000000000002</v>
      </c>
      <c r="G933" s="215">
        <f t="shared" si="87"/>
        <v>1058.3000000000002</v>
      </c>
      <c r="H933" s="62">
        <f t="shared" si="85"/>
        <v>100</v>
      </c>
    </row>
    <row r="934" spans="1:8" ht="38.25">
      <c r="A934" s="50"/>
      <c r="B934" s="50"/>
      <c r="C934" s="65" t="s">
        <v>650</v>
      </c>
      <c r="D934" s="65"/>
      <c r="E934" s="68" t="s">
        <v>649</v>
      </c>
      <c r="F934" s="215">
        <f t="shared" si="87"/>
        <v>1058.3000000000002</v>
      </c>
      <c r="G934" s="215">
        <f t="shared" si="87"/>
        <v>1058.3000000000002</v>
      </c>
      <c r="H934" s="62">
        <f t="shared" si="85"/>
        <v>100</v>
      </c>
    </row>
    <row r="935" spans="1:8" ht="25.5">
      <c r="A935" s="50"/>
      <c r="B935" s="50"/>
      <c r="C935" s="65"/>
      <c r="D935" s="69" t="s">
        <v>14</v>
      </c>
      <c r="E935" s="73" t="s">
        <v>15</v>
      </c>
      <c r="F935" s="215">
        <f>2380.8-1322.5</f>
        <v>1058.3000000000002</v>
      </c>
      <c r="G935" s="215">
        <f>2380.8-1322.5</f>
        <v>1058.3000000000002</v>
      </c>
      <c r="H935" s="62">
        <f t="shared" si="85"/>
        <v>100</v>
      </c>
    </row>
    <row r="936" spans="1:8" ht="15">
      <c r="A936" s="50"/>
      <c r="B936" s="65" t="s">
        <v>63</v>
      </c>
      <c r="C936" s="65"/>
      <c r="D936" s="69"/>
      <c r="E936" s="73" t="s">
        <v>86</v>
      </c>
      <c r="F936" s="215">
        <f aca="true" t="shared" si="88" ref="F936:G941">F937</f>
        <v>800</v>
      </c>
      <c r="G936" s="215">
        <f t="shared" si="88"/>
        <v>800</v>
      </c>
      <c r="H936" s="62">
        <f t="shared" si="85"/>
        <v>100</v>
      </c>
    </row>
    <row r="937" spans="1:8" ht="15">
      <c r="A937" s="50"/>
      <c r="B937" s="65" t="s">
        <v>352</v>
      </c>
      <c r="C937" s="65"/>
      <c r="D937" s="69"/>
      <c r="E937" s="73" t="s">
        <v>353</v>
      </c>
      <c r="F937" s="215">
        <f t="shared" si="88"/>
        <v>800</v>
      </c>
      <c r="G937" s="215">
        <f t="shared" si="88"/>
        <v>800</v>
      </c>
      <c r="H937" s="62">
        <f t="shared" si="85"/>
        <v>100</v>
      </c>
    </row>
    <row r="938" spans="1:8" ht="51">
      <c r="A938" s="50"/>
      <c r="B938" s="65"/>
      <c r="C938" s="65" t="s">
        <v>254</v>
      </c>
      <c r="D938" s="69"/>
      <c r="E938" s="68" t="s">
        <v>84</v>
      </c>
      <c r="F938" s="215">
        <f t="shared" si="88"/>
        <v>800</v>
      </c>
      <c r="G938" s="215">
        <f t="shared" si="88"/>
        <v>800</v>
      </c>
      <c r="H938" s="62">
        <f t="shared" si="85"/>
        <v>100</v>
      </c>
    </row>
    <row r="939" spans="1:8" ht="25.5">
      <c r="A939" s="50"/>
      <c r="B939" s="65"/>
      <c r="C939" s="83" t="s">
        <v>275</v>
      </c>
      <c r="D939" s="69"/>
      <c r="E939" s="73" t="s">
        <v>276</v>
      </c>
      <c r="F939" s="215">
        <f t="shared" si="88"/>
        <v>800</v>
      </c>
      <c r="G939" s="215">
        <f t="shared" si="88"/>
        <v>800</v>
      </c>
      <c r="H939" s="62">
        <f t="shared" si="85"/>
        <v>100</v>
      </c>
    </row>
    <row r="940" spans="1:8" ht="25.5" customHeight="1">
      <c r="A940" s="50"/>
      <c r="B940" s="65"/>
      <c r="C940" s="65" t="s">
        <v>277</v>
      </c>
      <c r="D940" s="50"/>
      <c r="E940" s="66" t="s">
        <v>278</v>
      </c>
      <c r="F940" s="215">
        <f t="shared" si="88"/>
        <v>800</v>
      </c>
      <c r="G940" s="215">
        <f t="shared" si="88"/>
        <v>800</v>
      </c>
      <c r="H940" s="62">
        <f t="shared" si="85"/>
        <v>100</v>
      </c>
    </row>
    <row r="941" spans="1:8" ht="38.25">
      <c r="A941" s="50"/>
      <c r="B941" s="77"/>
      <c r="C941" s="75" t="s">
        <v>666</v>
      </c>
      <c r="D941" s="75"/>
      <c r="E941" s="66" t="s">
        <v>667</v>
      </c>
      <c r="F941" s="215">
        <f t="shared" si="88"/>
        <v>800</v>
      </c>
      <c r="G941" s="215">
        <f t="shared" si="88"/>
        <v>800</v>
      </c>
      <c r="H941" s="62">
        <f t="shared" si="85"/>
        <v>100</v>
      </c>
    </row>
    <row r="942" spans="1:8" ht="42" customHeight="1">
      <c r="A942" s="50"/>
      <c r="B942" s="77"/>
      <c r="C942" s="75"/>
      <c r="D942" s="79" t="s">
        <v>34</v>
      </c>
      <c r="E942" s="66" t="s">
        <v>735</v>
      </c>
      <c r="F942" s="215">
        <f>F943+F944</f>
        <v>800</v>
      </c>
      <c r="G942" s="215">
        <f>G943+G944</f>
        <v>800</v>
      </c>
      <c r="H942" s="62">
        <f t="shared" si="85"/>
        <v>100</v>
      </c>
    </row>
    <row r="943" spans="1:8" ht="76.5">
      <c r="A943" s="50"/>
      <c r="B943" s="77"/>
      <c r="C943" s="75"/>
      <c r="D943" s="79"/>
      <c r="E943" s="73" t="s">
        <v>668</v>
      </c>
      <c r="F943" s="215">
        <v>400</v>
      </c>
      <c r="G943" s="215">
        <v>400</v>
      </c>
      <c r="H943" s="62">
        <f t="shared" si="85"/>
        <v>100</v>
      </c>
    </row>
    <row r="944" spans="1:8" ht="76.5">
      <c r="A944" s="50"/>
      <c r="B944" s="77"/>
      <c r="C944" s="75"/>
      <c r="D944" s="79"/>
      <c r="E944" s="73" t="s">
        <v>669</v>
      </c>
      <c r="F944" s="215">
        <v>400</v>
      </c>
      <c r="G944" s="215">
        <v>400</v>
      </c>
      <c r="H944" s="62">
        <f t="shared" si="85"/>
        <v>100</v>
      </c>
    </row>
    <row r="945" spans="1:8" ht="25.5">
      <c r="A945" s="63">
        <v>716</v>
      </c>
      <c r="B945" s="93"/>
      <c r="C945" s="93"/>
      <c r="D945" s="93"/>
      <c r="E945" s="94" t="s">
        <v>323</v>
      </c>
      <c r="F945" s="221">
        <f>F946</f>
        <v>7285.799999999999</v>
      </c>
      <c r="G945" s="221">
        <f>G946</f>
        <v>7285.799999999999</v>
      </c>
      <c r="H945" s="56">
        <f t="shared" si="85"/>
        <v>100</v>
      </c>
    </row>
    <row r="946" spans="1:8" ht="15">
      <c r="A946" s="50"/>
      <c r="B946" s="65" t="s">
        <v>0</v>
      </c>
      <c r="C946" s="65"/>
      <c r="D946" s="65"/>
      <c r="E946" s="66" t="s">
        <v>168</v>
      </c>
      <c r="F946" s="215">
        <f>F947</f>
        <v>7285.799999999999</v>
      </c>
      <c r="G946" s="215">
        <f>G947</f>
        <v>7285.799999999999</v>
      </c>
      <c r="H946" s="62">
        <f t="shared" si="85"/>
        <v>100</v>
      </c>
    </row>
    <row r="947" spans="1:8" ht="63.75">
      <c r="A947" s="50"/>
      <c r="B947" s="65" t="s">
        <v>5</v>
      </c>
      <c r="C947" s="50"/>
      <c r="D947" s="50"/>
      <c r="E947" s="67" t="s">
        <v>90</v>
      </c>
      <c r="F947" s="215">
        <f>F949+F951+F953</f>
        <v>7285.799999999999</v>
      </c>
      <c r="G947" s="215">
        <f>G949+G951+G953</f>
        <v>7285.799999999999</v>
      </c>
      <c r="H947" s="62">
        <f t="shared" si="85"/>
        <v>100</v>
      </c>
    </row>
    <row r="948" spans="1:8" ht="38.25">
      <c r="A948" s="50"/>
      <c r="B948" s="65"/>
      <c r="C948" s="65" t="s">
        <v>324</v>
      </c>
      <c r="D948" s="49"/>
      <c r="E948" s="68" t="s">
        <v>6</v>
      </c>
      <c r="F948" s="215">
        <f>F949+F951+F953</f>
        <v>7285.799999999999</v>
      </c>
      <c r="G948" s="215">
        <f>G949+G951+G953</f>
        <v>7285.799999999999</v>
      </c>
      <c r="H948" s="62">
        <f t="shared" si="85"/>
        <v>100</v>
      </c>
    </row>
    <row r="949" spans="1:8" ht="25.5">
      <c r="A949" s="50"/>
      <c r="B949" s="50"/>
      <c r="C949" s="65" t="s">
        <v>325</v>
      </c>
      <c r="D949" s="50"/>
      <c r="E949" s="66" t="s">
        <v>10</v>
      </c>
      <c r="F949" s="215">
        <f>F950</f>
        <v>3268.2999999999997</v>
      </c>
      <c r="G949" s="215">
        <f>G950</f>
        <v>3268.2999999999997</v>
      </c>
      <c r="H949" s="62">
        <f t="shared" si="85"/>
        <v>100</v>
      </c>
    </row>
    <row r="950" spans="1:8" ht="77.25" customHeight="1">
      <c r="A950" s="50"/>
      <c r="B950" s="50"/>
      <c r="C950" s="65"/>
      <c r="D950" s="65" t="s">
        <v>4</v>
      </c>
      <c r="E950" s="66" t="s">
        <v>114</v>
      </c>
      <c r="F950" s="215">
        <f>3050.5+467.2-50-189.1-10.3</f>
        <v>3268.2999999999997</v>
      </c>
      <c r="G950" s="215">
        <f>3050.5+467.2-50-189.1-10.3</f>
        <v>3268.2999999999997</v>
      </c>
      <c r="H950" s="62">
        <f t="shared" si="85"/>
        <v>100</v>
      </c>
    </row>
    <row r="951" spans="1:8" ht="25.5">
      <c r="A951" s="50"/>
      <c r="B951" s="50"/>
      <c r="C951" s="65" t="s">
        <v>326</v>
      </c>
      <c r="D951" s="50"/>
      <c r="E951" s="66" t="s">
        <v>11</v>
      </c>
      <c r="F951" s="215">
        <f>F952</f>
        <v>616</v>
      </c>
      <c r="G951" s="215">
        <f>G952</f>
        <v>616</v>
      </c>
      <c r="H951" s="62">
        <f t="shared" si="85"/>
        <v>100</v>
      </c>
    </row>
    <row r="952" spans="1:8" ht="76.5" customHeight="1">
      <c r="A952" s="50"/>
      <c r="B952" s="50"/>
      <c r="C952" s="65"/>
      <c r="D952" s="65" t="s">
        <v>4</v>
      </c>
      <c r="E952" s="66" t="s">
        <v>114</v>
      </c>
      <c r="F952" s="215">
        <f>884.5-268.5</f>
        <v>616</v>
      </c>
      <c r="G952" s="215">
        <f>884.5-268.5</f>
        <v>616</v>
      </c>
      <c r="H952" s="62">
        <f t="shared" si="85"/>
        <v>100</v>
      </c>
    </row>
    <row r="953" spans="1:8" ht="25.5">
      <c r="A953" s="50"/>
      <c r="B953" s="50"/>
      <c r="C953" s="65" t="s">
        <v>327</v>
      </c>
      <c r="D953" s="65"/>
      <c r="E953" s="66" t="s">
        <v>174</v>
      </c>
      <c r="F953" s="215">
        <f>F954+F955</f>
        <v>3401.5</v>
      </c>
      <c r="G953" s="215">
        <f>G954+G955</f>
        <v>3401.5</v>
      </c>
      <c r="H953" s="62">
        <f>G953/F953*100</f>
        <v>100</v>
      </c>
    </row>
    <row r="954" spans="1:8" ht="78" customHeight="1">
      <c r="A954" s="50"/>
      <c r="B954" s="50"/>
      <c r="C954" s="50"/>
      <c r="D954" s="65" t="s">
        <v>4</v>
      </c>
      <c r="E954" s="66" t="s">
        <v>114</v>
      </c>
      <c r="F954" s="215">
        <f>3561.3+54+2503.5-262.2-2530-37.8</f>
        <v>3288.8</v>
      </c>
      <c r="G954" s="215">
        <f>3561.3+54+2503.5-262.2-2530-37.8</f>
        <v>3288.8</v>
      </c>
      <c r="H954" s="62">
        <f>G954/F954*100</f>
        <v>100</v>
      </c>
    </row>
    <row r="955" spans="1:8" ht="39.75" customHeight="1">
      <c r="A955" s="50"/>
      <c r="B955" s="50"/>
      <c r="C955" s="50"/>
      <c r="D955" s="69" t="s">
        <v>7</v>
      </c>
      <c r="E955" s="66" t="s">
        <v>549</v>
      </c>
      <c r="F955" s="215">
        <f>235.7+80-54-123-81.4+55.4</f>
        <v>112.69999999999999</v>
      </c>
      <c r="G955" s="215">
        <f>235.7+80-54-123-81.4+55.4</f>
        <v>112.69999999999999</v>
      </c>
      <c r="H955" s="62">
        <f>G955/F955*100</f>
        <v>100</v>
      </c>
    </row>
    <row r="956" spans="1:8" ht="21.75" customHeight="1">
      <c r="A956" s="50"/>
      <c r="B956" s="50"/>
      <c r="C956" s="50"/>
      <c r="D956" s="50"/>
      <c r="E956" s="95" t="s">
        <v>91</v>
      </c>
      <c r="F956" s="216">
        <f>F11+F26+F186+F219+F348+F415+F423+F493+F735+F812+F945</f>
        <v>592498.6270000001</v>
      </c>
      <c r="G956" s="216">
        <f>G11+G26+G186+G219+G348+G415+G423+G493+G735+G812+G945</f>
        <v>561696.6270000001</v>
      </c>
      <c r="H956" s="56">
        <f>G956/F956*100</f>
        <v>94.80133816411359</v>
      </c>
    </row>
  </sheetData>
  <sheetProtection/>
  <mergeCells count="5">
    <mergeCell ref="A6:H6"/>
    <mergeCell ref="G1:H1"/>
    <mergeCell ref="G2:H2"/>
    <mergeCell ref="G3:H3"/>
    <mergeCell ref="G4:H4"/>
  </mergeCells>
  <printOptions/>
  <pageMargins left="1.1811023622047245" right="0.3937007874015748" top="0.7874015748031497" bottom="0.7874015748031497" header="0" footer="0"/>
  <pageSetup fitToHeight="0" fitToWidth="1" horizontalDpi="600" verticalDpi="600" orientation="portrait" paperSize="9" scale="54" r:id="rId1"/>
  <headerFooter differentFirst="1">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D18"/>
  <sheetViews>
    <sheetView tabSelected="1" zoomScalePageLayoutView="0" workbookViewId="0" topLeftCell="A4">
      <selection activeCell="E18" sqref="E18"/>
    </sheetView>
  </sheetViews>
  <sheetFormatPr defaultColWidth="9.140625" defaultRowHeight="15"/>
  <cols>
    <col min="1" max="1" width="19.57421875" style="0" customWidth="1"/>
    <col min="2" max="2" width="33.00390625" style="0" customWidth="1"/>
    <col min="3" max="3" width="13.421875" style="0" customWidth="1"/>
    <col min="4" max="4" width="13.28125" style="0" customWidth="1"/>
  </cols>
  <sheetData>
    <row r="1" ht="15">
      <c r="C1" s="105" t="s">
        <v>92</v>
      </c>
    </row>
    <row r="2" ht="15">
      <c r="C2" s="105" t="s">
        <v>801</v>
      </c>
    </row>
    <row r="3" ht="15">
      <c r="C3" s="105" t="s">
        <v>802</v>
      </c>
    </row>
    <row r="4" spans="3:4" ht="15" customHeight="1">
      <c r="C4" s="240" t="s">
        <v>1006</v>
      </c>
      <c r="D4" s="240"/>
    </row>
    <row r="5" spans="3:4" ht="15">
      <c r="C5" s="1"/>
      <c r="D5" s="4"/>
    </row>
    <row r="6" spans="1:4" ht="58.5" customHeight="1">
      <c r="A6" s="241" t="s">
        <v>1009</v>
      </c>
      <c r="B6" s="241"/>
      <c r="C6" s="241"/>
      <c r="D6" s="241"/>
    </row>
    <row r="7" spans="1:4" ht="12.75" customHeight="1">
      <c r="A7" s="205"/>
      <c r="B7" s="205"/>
      <c r="C7" s="205"/>
      <c r="D7" s="205"/>
    </row>
    <row r="8" spans="1:4" ht="18" customHeight="1">
      <c r="A8" s="197"/>
      <c r="B8" s="197"/>
      <c r="C8" s="9"/>
      <c r="D8" s="249" t="s">
        <v>1019</v>
      </c>
    </row>
    <row r="9" spans="1:4" ht="70.5" customHeight="1">
      <c r="A9" s="204" t="s">
        <v>386</v>
      </c>
      <c r="B9" s="204" t="s">
        <v>387</v>
      </c>
      <c r="C9" s="202" t="s">
        <v>1018</v>
      </c>
      <c r="D9" s="244" t="s">
        <v>1015</v>
      </c>
    </row>
    <row r="10" spans="1:4" ht="17.25" customHeight="1">
      <c r="A10" s="203">
        <v>1</v>
      </c>
      <c r="B10" s="203">
        <v>2</v>
      </c>
      <c r="C10" s="262">
        <v>3</v>
      </c>
      <c r="D10" s="222">
        <v>4</v>
      </c>
    </row>
    <row r="11" spans="1:4" ht="29.25" customHeight="1">
      <c r="A11" s="198" t="s">
        <v>389</v>
      </c>
      <c r="B11" s="198" t="s">
        <v>388</v>
      </c>
      <c r="C11" s="263">
        <f>C12</f>
        <v>54905.5</v>
      </c>
      <c r="D11" s="263">
        <f>D12</f>
        <v>22036.099999999977</v>
      </c>
    </row>
    <row r="12" spans="1:4" ht="27" customHeight="1">
      <c r="A12" s="199" t="s">
        <v>96</v>
      </c>
      <c r="B12" s="196" t="s">
        <v>97</v>
      </c>
      <c r="C12" s="5">
        <f>C13+C16</f>
        <v>54905.5</v>
      </c>
      <c r="D12" s="5">
        <f>D13+D16</f>
        <v>22036.099999999977</v>
      </c>
    </row>
    <row r="13" spans="1:4" ht="28.5" customHeight="1">
      <c r="A13" s="199" t="s">
        <v>98</v>
      </c>
      <c r="B13" s="199" t="s">
        <v>99</v>
      </c>
      <c r="C13" s="206">
        <f>C14</f>
        <v>-537593.1</v>
      </c>
      <c r="D13" s="206">
        <f>D14</f>
        <v>-539660.5</v>
      </c>
    </row>
    <row r="14" spans="1:4" ht="27.75" customHeight="1">
      <c r="A14" s="196" t="s">
        <v>100</v>
      </c>
      <c r="B14" s="196" t="s">
        <v>101</v>
      </c>
      <c r="C14" s="5">
        <f>C15</f>
        <v>-537593.1</v>
      </c>
      <c r="D14" s="5">
        <f>D15</f>
        <v>-539660.5</v>
      </c>
    </row>
    <row r="15" spans="1:4" ht="30" customHeight="1">
      <c r="A15" s="196" t="s">
        <v>102</v>
      </c>
      <c r="B15" s="196" t="s">
        <v>103</v>
      </c>
      <c r="C15" s="5">
        <v>-537593.1</v>
      </c>
      <c r="D15" s="5">
        <v>-539660.5</v>
      </c>
    </row>
    <row r="16" spans="1:4" ht="27.75" customHeight="1">
      <c r="A16" s="199" t="s">
        <v>104</v>
      </c>
      <c r="B16" s="199" t="s">
        <v>105</v>
      </c>
      <c r="C16" s="206">
        <f>C17</f>
        <v>592498.6</v>
      </c>
      <c r="D16" s="206">
        <f>D17</f>
        <v>561696.6</v>
      </c>
    </row>
    <row r="17" spans="1:4" ht="27.75" customHeight="1">
      <c r="A17" s="196" t="s">
        <v>106</v>
      </c>
      <c r="B17" s="196" t="s">
        <v>107</v>
      </c>
      <c r="C17" s="5">
        <f>C18</f>
        <v>592498.6</v>
      </c>
      <c r="D17" s="5">
        <f>D18</f>
        <v>561696.6</v>
      </c>
    </row>
    <row r="18" spans="1:4" ht="30" customHeight="1">
      <c r="A18" s="196" t="s">
        <v>108</v>
      </c>
      <c r="B18" s="196" t="s">
        <v>109</v>
      </c>
      <c r="C18" s="5">
        <v>592498.6</v>
      </c>
      <c r="D18" s="5">
        <v>561696.6</v>
      </c>
    </row>
  </sheetData>
  <sheetProtection/>
  <mergeCells count="2">
    <mergeCell ref="C4:D4"/>
    <mergeCell ref="A6:D6"/>
  </mergeCells>
  <printOptions/>
  <pageMargins left="1.1811023622047245" right="0.3937007874015748" top="0.7874015748031497" bottom="0.7874015748031497"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34"/>
  <sheetViews>
    <sheetView view="pageLayout" workbookViewId="0" topLeftCell="A7">
      <selection activeCell="B16" sqref="B16"/>
    </sheetView>
  </sheetViews>
  <sheetFormatPr defaultColWidth="9.140625" defaultRowHeight="15"/>
  <cols>
    <col min="1" max="1" width="4.57421875" style="0" customWidth="1"/>
    <col min="2" max="2" width="46.140625" style="0" customWidth="1"/>
    <col min="3" max="3" width="11.28125" style="0" customWidth="1"/>
    <col min="4" max="4" width="10.140625" style="0" customWidth="1"/>
    <col min="5" max="5" width="10.57421875" style="0" customWidth="1"/>
  </cols>
  <sheetData>
    <row r="1" spans="4:5" ht="15">
      <c r="D1" s="105" t="s">
        <v>754</v>
      </c>
      <c r="E1" s="4"/>
    </row>
    <row r="2" spans="4:5" ht="15">
      <c r="D2" s="105" t="s">
        <v>801</v>
      </c>
      <c r="E2" s="4"/>
    </row>
    <row r="3" spans="4:5" ht="15">
      <c r="D3" s="105" t="s">
        <v>802</v>
      </c>
      <c r="E3" s="186"/>
    </row>
    <row r="4" spans="4:5" ht="15" customHeight="1">
      <c r="D4" s="51" t="s">
        <v>1006</v>
      </c>
      <c r="E4" s="51"/>
    </row>
    <row r="5" ht="15">
      <c r="D5" s="3"/>
    </row>
    <row r="6" spans="1:5" ht="31.5" customHeight="1">
      <c r="A6" s="242" t="s">
        <v>1004</v>
      </c>
      <c r="B6" s="243"/>
      <c r="C6" s="243"/>
      <c r="D6" s="243"/>
      <c r="E6" s="243"/>
    </row>
    <row r="7" spans="1:5" ht="15" customHeight="1">
      <c r="A7" s="229"/>
      <c r="B7" s="230"/>
      <c r="C7" s="230"/>
      <c r="D7" s="230"/>
      <c r="E7" s="230"/>
    </row>
    <row r="8" spans="3:5" ht="15.75">
      <c r="C8" s="9"/>
      <c r="D8" s="249" t="s">
        <v>1019</v>
      </c>
      <c r="E8" s="9"/>
    </row>
    <row r="9" spans="1:5" ht="38.25">
      <c r="A9" s="6" t="s">
        <v>93</v>
      </c>
      <c r="B9" s="6" t="s">
        <v>94</v>
      </c>
      <c r="C9" s="202" t="s">
        <v>1018</v>
      </c>
      <c r="D9" s="244" t="s">
        <v>1015</v>
      </c>
      <c r="E9" s="202" t="s">
        <v>1020</v>
      </c>
    </row>
    <row r="10" spans="1:5" ht="15">
      <c r="A10" s="200">
        <v>1</v>
      </c>
      <c r="B10" s="200">
        <v>2</v>
      </c>
      <c r="C10" s="202">
        <v>3</v>
      </c>
      <c r="D10" s="244" t="s">
        <v>806</v>
      </c>
      <c r="E10" s="202">
        <v>5</v>
      </c>
    </row>
    <row r="11" spans="1:5" ht="42.75">
      <c r="A11" s="57" t="s">
        <v>110</v>
      </c>
      <c r="B11" s="207" t="s">
        <v>69</v>
      </c>
      <c r="C11" s="258">
        <f>C13+C14+C15+C16+C17+C18+C19+C20+C21+C22+C23+C24+C25+C26+C27+C28+C29+C30+C31</f>
        <v>110690.32520000002</v>
      </c>
      <c r="D11" s="258">
        <f>D13+D14+D15+D16+D17+D18+D19+D20+D21+D22+D23+D24+D25+D26+D27+D28+D29+D30+D31</f>
        <v>105588.09999999999</v>
      </c>
      <c r="E11" s="259">
        <f>D11/C11*100</f>
        <v>95.39054096120768</v>
      </c>
    </row>
    <row r="12" spans="1:5" ht="15">
      <c r="A12" s="57"/>
      <c r="B12" s="257" t="s">
        <v>111</v>
      </c>
      <c r="C12" s="57"/>
      <c r="D12" s="60"/>
      <c r="E12" s="59"/>
    </row>
    <row r="13" spans="1:6" ht="30">
      <c r="A13" s="57" t="s">
        <v>112</v>
      </c>
      <c r="B13" s="32" t="s">
        <v>220</v>
      </c>
      <c r="C13" s="208">
        <f>19143.9+1449.7</f>
        <v>20593.600000000002</v>
      </c>
      <c r="D13" s="209">
        <v>20235.7</v>
      </c>
      <c r="E13" s="210">
        <f aca="true" t="shared" si="0" ref="E13:E34">D13/C13*100</f>
        <v>98.26208142335481</v>
      </c>
      <c r="F13" s="54"/>
    </row>
    <row r="14" spans="1:6" ht="30">
      <c r="A14" s="57" t="s">
        <v>113</v>
      </c>
      <c r="B14" s="32" t="s">
        <v>674</v>
      </c>
      <c r="C14" s="208">
        <v>15431</v>
      </c>
      <c r="D14" s="209">
        <v>15431</v>
      </c>
      <c r="E14" s="210">
        <f t="shared" si="0"/>
        <v>100</v>
      </c>
      <c r="F14" s="54"/>
    </row>
    <row r="15" spans="1:6" ht="45">
      <c r="A15" s="57" t="s">
        <v>122</v>
      </c>
      <c r="B15" s="32" t="s">
        <v>675</v>
      </c>
      <c r="C15" s="208">
        <v>16531.8</v>
      </c>
      <c r="D15" s="209">
        <v>16531.8</v>
      </c>
      <c r="E15" s="210">
        <f t="shared" si="0"/>
        <v>100</v>
      </c>
      <c r="F15" s="54"/>
    </row>
    <row r="16" spans="1:6" ht="45">
      <c r="A16" s="57" t="s">
        <v>123</v>
      </c>
      <c r="B16" s="32" t="s">
        <v>676</v>
      </c>
      <c r="C16" s="208">
        <v>21280.4</v>
      </c>
      <c r="D16" s="209">
        <v>21280.4</v>
      </c>
      <c r="E16" s="210">
        <f t="shared" si="0"/>
        <v>100</v>
      </c>
      <c r="F16" s="54"/>
    </row>
    <row r="17" spans="1:6" ht="30">
      <c r="A17" s="57" t="s">
        <v>124</v>
      </c>
      <c r="B17" s="32" t="s">
        <v>742</v>
      </c>
      <c r="C17" s="208">
        <v>8674.3</v>
      </c>
      <c r="D17" s="209">
        <v>8674.3</v>
      </c>
      <c r="E17" s="210">
        <f t="shared" si="0"/>
        <v>100</v>
      </c>
      <c r="F17" s="54"/>
    </row>
    <row r="18" spans="1:6" ht="30" customHeight="1">
      <c r="A18" s="57" t="s">
        <v>382</v>
      </c>
      <c r="B18" s="32" t="s">
        <v>677</v>
      </c>
      <c r="C18" s="208">
        <v>2789.6</v>
      </c>
      <c r="D18" s="209">
        <v>2789.6</v>
      </c>
      <c r="E18" s="210">
        <f t="shared" si="0"/>
        <v>100</v>
      </c>
      <c r="F18" s="54"/>
    </row>
    <row r="19" spans="1:6" ht="46.5" customHeight="1">
      <c r="A19" s="57" t="s">
        <v>383</v>
      </c>
      <c r="B19" s="34" t="s">
        <v>594</v>
      </c>
      <c r="C19" s="208">
        <f>255.462+4853.765</f>
        <v>5109.227000000001</v>
      </c>
      <c r="D19" s="208">
        <v>4074.2</v>
      </c>
      <c r="E19" s="210">
        <f t="shared" si="0"/>
        <v>79.74200402526644</v>
      </c>
      <c r="F19" s="54"/>
    </row>
    <row r="20" spans="1:6" ht="30">
      <c r="A20" s="57" t="s">
        <v>384</v>
      </c>
      <c r="B20" s="32" t="s">
        <v>678</v>
      </c>
      <c r="C20" s="208">
        <v>4451.1</v>
      </c>
      <c r="D20" s="209">
        <v>3983.7</v>
      </c>
      <c r="E20" s="210">
        <f t="shared" si="0"/>
        <v>89.49922491069621</v>
      </c>
      <c r="F20" s="54"/>
    </row>
    <row r="21" spans="1:6" ht="90">
      <c r="A21" s="57" t="s">
        <v>385</v>
      </c>
      <c r="B21" s="32" t="s">
        <v>679</v>
      </c>
      <c r="C21" s="208">
        <f>53.54167+1017.287</f>
        <v>1070.82867</v>
      </c>
      <c r="D21" s="209">
        <v>883.9</v>
      </c>
      <c r="E21" s="210">
        <f t="shared" si="0"/>
        <v>82.54355012739806</v>
      </c>
      <c r="F21" s="54"/>
    </row>
    <row r="22" spans="1:6" ht="89.25" customHeight="1">
      <c r="A22" s="57" t="s">
        <v>682</v>
      </c>
      <c r="B22" s="32" t="s">
        <v>680</v>
      </c>
      <c r="C22" s="208">
        <f>56.301+1069.703</f>
        <v>1126.004</v>
      </c>
      <c r="D22" s="209">
        <v>1126</v>
      </c>
      <c r="E22" s="210">
        <f t="shared" si="0"/>
        <v>99.99964476147511</v>
      </c>
      <c r="F22" s="54"/>
    </row>
    <row r="23" spans="1:6" ht="15">
      <c r="A23" s="57" t="s">
        <v>683</v>
      </c>
      <c r="B23" s="33" t="s">
        <v>743</v>
      </c>
      <c r="C23" s="208">
        <v>1734.7</v>
      </c>
      <c r="D23" s="209">
        <v>1734.7</v>
      </c>
      <c r="E23" s="210">
        <f t="shared" si="0"/>
        <v>100</v>
      </c>
      <c r="F23" s="54"/>
    </row>
    <row r="24" spans="1:6" ht="31.5" customHeight="1">
      <c r="A24" s="57" t="s">
        <v>684</v>
      </c>
      <c r="B24" s="33" t="s">
        <v>744</v>
      </c>
      <c r="C24" s="208">
        <f>3120.3-259.1</f>
        <v>2861.2000000000003</v>
      </c>
      <c r="D24" s="209">
        <v>161.7</v>
      </c>
      <c r="E24" s="210">
        <f t="shared" si="0"/>
        <v>5.651474905633999</v>
      </c>
      <c r="F24" s="54"/>
    </row>
    <row r="25" spans="1:6" ht="18" customHeight="1">
      <c r="A25" s="57" t="s">
        <v>685</v>
      </c>
      <c r="B25" s="101" t="s">
        <v>745</v>
      </c>
      <c r="C25" s="208">
        <v>2921.2</v>
      </c>
      <c r="D25" s="209">
        <v>2921.2</v>
      </c>
      <c r="E25" s="210">
        <f t="shared" si="0"/>
        <v>100</v>
      </c>
      <c r="F25" s="54"/>
    </row>
    <row r="26" spans="1:6" ht="30">
      <c r="A26" s="57" t="s">
        <v>746</v>
      </c>
      <c r="B26" s="101" t="s">
        <v>747</v>
      </c>
      <c r="C26" s="208">
        <f>95.16553</f>
        <v>95.16553</v>
      </c>
      <c r="D26" s="208">
        <v>0</v>
      </c>
      <c r="E26" s="210">
        <f t="shared" si="0"/>
        <v>0</v>
      </c>
      <c r="F26" s="54"/>
    </row>
    <row r="27" spans="1:6" ht="47.25" customHeight="1">
      <c r="A27" s="57" t="s">
        <v>748</v>
      </c>
      <c r="B27" s="101" t="s">
        <v>749</v>
      </c>
      <c r="C27" s="208">
        <v>211.4</v>
      </c>
      <c r="D27" s="209">
        <v>0</v>
      </c>
      <c r="E27" s="210">
        <f t="shared" si="0"/>
        <v>0</v>
      </c>
      <c r="F27" s="54"/>
    </row>
    <row r="28" spans="1:5" ht="30">
      <c r="A28" s="57" t="s">
        <v>750</v>
      </c>
      <c r="B28" s="33" t="s">
        <v>590</v>
      </c>
      <c r="C28" s="208">
        <f>1699.3-192.7</f>
        <v>1506.6</v>
      </c>
      <c r="D28" s="209">
        <v>1506.6</v>
      </c>
      <c r="E28" s="210">
        <f t="shared" si="0"/>
        <v>100</v>
      </c>
    </row>
    <row r="29" spans="1:5" ht="45">
      <c r="A29" s="57" t="s">
        <v>751</v>
      </c>
      <c r="B29" s="34" t="s">
        <v>596</v>
      </c>
      <c r="C29" s="208">
        <v>1064.6</v>
      </c>
      <c r="D29" s="208">
        <v>1064.6</v>
      </c>
      <c r="E29" s="210">
        <f t="shared" si="0"/>
        <v>100</v>
      </c>
    </row>
    <row r="30" spans="1:5" ht="75">
      <c r="A30" s="57" t="s">
        <v>752</v>
      </c>
      <c r="B30" s="33" t="s">
        <v>728</v>
      </c>
      <c r="C30" s="208">
        <v>218.9</v>
      </c>
      <c r="D30" s="209">
        <v>170</v>
      </c>
      <c r="E30" s="210">
        <f t="shared" si="0"/>
        <v>77.66103243490178</v>
      </c>
    </row>
    <row r="31" spans="1:5" ht="45">
      <c r="A31" s="57" t="s">
        <v>753</v>
      </c>
      <c r="B31" s="34" t="s">
        <v>201</v>
      </c>
      <c r="C31" s="208">
        <f>3021.8-3.1</f>
        <v>3018.7000000000003</v>
      </c>
      <c r="D31" s="208">
        <v>3018.7</v>
      </c>
      <c r="E31" s="210">
        <f t="shared" si="0"/>
        <v>99.99999999999999</v>
      </c>
    </row>
    <row r="32" spans="1:5" ht="57">
      <c r="A32" s="57" t="s">
        <v>329</v>
      </c>
      <c r="B32" s="207" t="s">
        <v>24</v>
      </c>
      <c r="C32" s="211">
        <f>C33</f>
        <v>1676.6</v>
      </c>
      <c r="D32" s="211">
        <f>D33</f>
        <v>1676.6</v>
      </c>
      <c r="E32" s="212">
        <f t="shared" si="0"/>
        <v>100</v>
      </c>
    </row>
    <row r="33" spans="1:5" ht="75">
      <c r="A33" s="57" t="s">
        <v>686</v>
      </c>
      <c r="B33" s="34" t="s">
        <v>681</v>
      </c>
      <c r="C33" s="208">
        <v>1676.6</v>
      </c>
      <c r="D33" s="208">
        <v>1676.6</v>
      </c>
      <c r="E33" s="210">
        <f t="shared" si="0"/>
        <v>100</v>
      </c>
    </row>
    <row r="34" spans="1:5" ht="22.5" customHeight="1">
      <c r="A34" s="50"/>
      <c r="B34" s="58" t="s">
        <v>91</v>
      </c>
      <c r="C34" s="213">
        <f>C11+C32</f>
        <v>112366.92520000003</v>
      </c>
      <c r="D34" s="213">
        <f>D11+D32</f>
        <v>107264.7</v>
      </c>
      <c r="E34" s="214">
        <f t="shared" si="0"/>
        <v>95.45931759642025</v>
      </c>
    </row>
  </sheetData>
  <sheetProtection/>
  <mergeCells count="1">
    <mergeCell ref="A6:E6"/>
  </mergeCells>
  <printOptions/>
  <pageMargins left="1.1811023622047245" right="0.3937007874015748" top="0.7874015748031497" bottom="0.7874015748031497" header="0.31496062992125984" footer="0.31496062992125984"/>
  <pageSetup fitToHeight="0" fitToWidth="1" horizontalDpi="600" verticalDpi="600" orientation="portrait" paperSize="9" scale="92"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Сомова Наталья Александровна</cp:lastModifiedBy>
  <cp:lastPrinted>2019-03-28T21:32:44Z</cp:lastPrinted>
  <dcterms:created xsi:type="dcterms:W3CDTF">2014-04-22T02:39:24Z</dcterms:created>
  <dcterms:modified xsi:type="dcterms:W3CDTF">2019-04-01T09:02:01Z</dcterms:modified>
  <cp:category/>
  <cp:version/>
  <cp:contentType/>
  <cp:contentStatus/>
</cp:coreProperties>
</file>