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985" tabRatio="848" activeTab="2"/>
  </bookViews>
  <sheets>
    <sheet name="Дх 1" sheetId="1" r:id="rId1"/>
    <sheet name="Дх 2" sheetId="2" r:id="rId2"/>
    <sheet name="вед. 2018" sheetId="3" r:id="rId3"/>
    <sheet name="функц. 2018" sheetId="4" r:id="rId4"/>
    <sheet name="ГАИД 2018" sheetId="5" r:id="rId5"/>
  </sheets>
  <definedNames>
    <definedName name="_xlnm.Print_Titles" localSheetId="2">'вед. 2018'!$10:$12</definedName>
    <definedName name="_xlnm.Print_Titles" localSheetId="0">'Дх 1'!$9:$11</definedName>
    <definedName name="_xlnm.Print_Titles" localSheetId="1">'Дх 2'!$10:$11</definedName>
  </definedNames>
  <calcPr fullCalcOnLoad="1"/>
</workbook>
</file>

<file path=xl/sharedStrings.xml><?xml version="1.0" encoding="utf-8"?>
<sst xmlns="http://schemas.openxmlformats.org/spreadsheetml/2006/main" count="3424" uniqueCount="1102">
  <si>
    <t>7</t>
  </si>
  <si>
    <t>тыс.руб.</t>
  </si>
  <si>
    <t>4</t>
  </si>
  <si>
    <t>3</t>
  </si>
  <si>
    <t>6</t>
  </si>
  <si>
    <t>Ведомственная классификация</t>
  </si>
  <si>
    <t>Наименование расходов</t>
  </si>
  <si>
    <t>раздел, подраздел</t>
  </si>
  <si>
    <t>целевая статья</t>
  </si>
  <si>
    <t>вид расходов</t>
  </si>
  <si>
    <t>Муниципальное казенное учреждение "Контрольно-счетная палата Соликамского городского округа"</t>
  </si>
  <si>
    <t>Орган местного самоуправления муниципального образования  Соликамская городская Дума</t>
  </si>
  <si>
    <t>Орган местного самоуправления Соликамского городского округа администрация города Соликамска</t>
  </si>
  <si>
    <t>Управление образования администрации города Соликамска</t>
  </si>
  <si>
    <t>Управление культуры администрации города Соликамска</t>
  </si>
  <si>
    <t>Комитет по физической культуре и спорту администрации города Соликамска</t>
  </si>
  <si>
    <t>01 0 00 00000</t>
  </si>
  <si>
    <t>Муниципальная программа "Развитие системы образования Соликамского городского округа"</t>
  </si>
  <si>
    <t>01 1 00 00000</t>
  </si>
  <si>
    <t>Подпрограмма "Развитие инфраструктуры муниципальной системы образования Соликамского городского округа"</t>
  </si>
  <si>
    <t>01 1 01 00000</t>
  </si>
  <si>
    <t>600</t>
  </si>
  <si>
    <t>Предоставление  субсидий  бюджетным,  автономным  учреждениям и иным некоммерческим организациям</t>
  </si>
  <si>
    <t>01 1 01 07210</t>
  </si>
  <si>
    <t>01 1 01 07350</t>
  </si>
  <si>
    <t>01 1 01 07360</t>
  </si>
  <si>
    <t>01 1 01 07370</t>
  </si>
  <si>
    <t>200</t>
  </si>
  <si>
    <t>Закупка товаров, работ и услуг для государственных (муниципальных) нужд</t>
  </si>
  <si>
    <t>01 1 02 00000</t>
  </si>
  <si>
    <t>01 1 02 07110</t>
  </si>
  <si>
    <t>Выявление, сопровождение и поддержка одаренных детей</t>
  </si>
  <si>
    <t>300</t>
  </si>
  <si>
    <t>Социальное обеспечение и иные выплаты населению</t>
  </si>
  <si>
    <t>01 1 02 07120</t>
  </si>
  <si>
    <t>Мероприятия по повышению профессиональной компетентности педагогических кадров</t>
  </si>
  <si>
    <t>01 1 02 07610</t>
  </si>
  <si>
    <t>01 1 02 20050</t>
  </si>
  <si>
    <t>Премия "Юные дарования Соликамска"</t>
  </si>
  <si>
    <t>01 9 00 00000</t>
  </si>
  <si>
    <t>Подпрограмма  "Обеспечение реализации муниципальной программы "Развитие системы образования Соликамского городского округа"</t>
  </si>
  <si>
    <t>01 9 01 00000</t>
  </si>
  <si>
    <t>Основное мероприятие "Качественное исполнение функции главного распорядителя (главного администратора) бюджетных средств"</t>
  </si>
  <si>
    <t>01 9 01 02030</t>
  </si>
  <si>
    <t>01 9 01 00040</t>
  </si>
  <si>
    <t>Содержание аппарата</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</si>
  <si>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</si>
  <si>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</si>
  <si>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01 9 01 02050</t>
  </si>
  <si>
    <t>Предоставление услуг в сфере общего образования</t>
  </si>
  <si>
    <t>Предоставление услуг в сфере общего образования (для обучающихся с ограниченными возможностями здоровья в общеобразовательных организациях)</t>
  </si>
  <si>
    <t>01 9 01 02060</t>
  </si>
  <si>
    <t>Предоставление услуг по дополнительному образованию детей</t>
  </si>
  <si>
    <t>01 9 01 02080</t>
  </si>
  <si>
    <t>Предоставление услуг прочими учреждениями образования</t>
  </si>
  <si>
    <t>Организация предоставления общедоступного и бесплатного дошкольного, начального, основного общего образования для обучающихся с ограниченными возможностями здоровья в отдельных муниципальных общеобразовательных организациях, осуществляющих образовательную деятельность по адаптированным основным общеобразовательным программам</t>
  </si>
  <si>
    <t>01 9 02 00000</t>
  </si>
  <si>
    <t>Основное мероприятие "Реализация государственных полномочий и публичных обязательств в сфере образования"</t>
  </si>
  <si>
    <t>Социальные гарантии педагогическим работникам учреждений дополнительного образования детей</t>
  </si>
  <si>
    <t>01 9 02 07510</t>
  </si>
  <si>
    <t>Мероприятия по организации оздоровительной кампании детей и подростков</t>
  </si>
  <si>
    <t>Мероприятия по организации оздоровления и отдыха детей</t>
  </si>
  <si>
    <t>800</t>
  </si>
  <si>
    <t>Иные бюджетные ассигнования</t>
  </si>
  <si>
    <t>02 0 00 00000</t>
  </si>
  <si>
    <t>Муниципальная программа "Развитие сферы культуры, туризма и молодежной политики  Соликамского городского округа"</t>
  </si>
  <si>
    <t>02 1 00 00000</t>
  </si>
  <si>
    <t>Подпрограмма "Развитие сферы культуры в Соликамском городском округе"</t>
  </si>
  <si>
    <t>02 1 01 00000</t>
  </si>
  <si>
    <t>Основное мероприятие "Усиление роли сферы культуры в повышении качества жизни горожан"</t>
  </si>
  <si>
    <t>02 1 01 08320</t>
  </si>
  <si>
    <t xml:space="preserve">Обследование и приведение в нормативное состояние учреждений подведомственных Управлению культуры </t>
  </si>
  <si>
    <t>02 1 01 08610</t>
  </si>
  <si>
    <t>02 1 01 08620</t>
  </si>
  <si>
    <t>Поддержка профессионального мастерства, развитие народных промыслов и ремёсел</t>
  </si>
  <si>
    <t>02 2 00 00000</t>
  </si>
  <si>
    <t>02 2 01 00000</t>
  </si>
  <si>
    <t>Основное мероприятие "Создание условий для повышения конкурентоспособности туристского рынка города  Соликамска"</t>
  </si>
  <si>
    <t>02 2 01 08400</t>
  </si>
  <si>
    <t>02 4 01 00000</t>
  </si>
  <si>
    <t>Подпрограмма "Развитие молодежной политики в Соликамском городском округе"</t>
  </si>
  <si>
    <t>Основное мероприятие "Развитие условий для социального становления и самореализации молодежи на территории Соликамского городского округа"</t>
  </si>
  <si>
    <t>02 4 01 07700</t>
  </si>
  <si>
    <t>02 9 00 00000</t>
  </si>
  <si>
    <t>Подпрограмма "Обеспечение реализации муниципальной программы "Развитие сферы культуры, туризма и молодежной политики Соликамского городского округа"</t>
  </si>
  <si>
    <t>02 9 01 00000</t>
  </si>
  <si>
    <t>02 9 01 00040</t>
  </si>
  <si>
    <t>02 9 01 02060</t>
  </si>
  <si>
    <t>02 9 01 02070</t>
  </si>
  <si>
    <t>Предоставление услуг в сфере молодежной политики</t>
  </si>
  <si>
    <t>02 9 01 02090</t>
  </si>
  <si>
    <t>Предоставление услуги по культурно-досуговой деятельности</t>
  </si>
  <si>
    <t>02 9 01 02100</t>
  </si>
  <si>
    <t>02 9 01 02110</t>
  </si>
  <si>
    <t>02 9 01 02120</t>
  </si>
  <si>
    <t>02 9 01 02130</t>
  </si>
  <si>
    <t>Предоставление услуг прочими учреждениями культуры</t>
  </si>
  <si>
    <t>02 9 01 08110</t>
  </si>
  <si>
    <t>Приобретение периодической, научной, учебно-методической, справочно-информационной и художественной литературы для инвалидов по зрению</t>
  </si>
  <si>
    <t>02 9 01 08120</t>
  </si>
  <si>
    <t>Приобретение периодической, научной, учебно-методической, справочно-информационной и художественной литературы и подписка для пополнения фондов</t>
  </si>
  <si>
    <t>02 9 01 20060</t>
  </si>
  <si>
    <t>03 0 00 00000</t>
  </si>
  <si>
    <t>03 1 00 00000</t>
  </si>
  <si>
    <t>03 1 01 00000</t>
  </si>
  <si>
    <t>Основное мероприятие "Снижение количества преступлений, зарегистрированных в округе"</t>
  </si>
  <si>
    <t>03 1 01 03310</t>
  </si>
  <si>
    <t>03 1 01 03320</t>
  </si>
  <si>
    <t>Осуществление  полномочий  по страхованию граждан  Российской  Федерации, участвующих в деятельности дружин охраны общественного  порядка на территории Пермского края</t>
  </si>
  <si>
    <t>03 1 02 00000</t>
  </si>
  <si>
    <t>Основное мероприятие "Формирование негативного отношения к употреблению наркотических средств"</t>
  </si>
  <si>
    <t>03 1 02 09200</t>
  </si>
  <si>
    <t>03 1 03 00000</t>
  </si>
  <si>
    <t>Основное мероприятие "Формирование негативного отношения к употреблению алкоголя"</t>
  </si>
  <si>
    <t>03 1 03 09210</t>
  </si>
  <si>
    <t>Мероприятия по профилактике потребления алкоголя</t>
  </si>
  <si>
    <t>03 2 00 00000</t>
  </si>
  <si>
    <t>Подпрограмма "Развитие безопасности жизнедеятельности населения Соликамского городского округа"</t>
  </si>
  <si>
    <t>03 2 01 00000</t>
  </si>
  <si>
    <t>Основное мероприятие "Защита населения и территорий от  чрезвычайных ситуаций, выполнение  мероприятий по гражданской обороне"</t>
  </si>
  <si>
    <t>03 2 01 03110</t>
  </si>
  <si>
    <t>Мероприятия по гражданской обороне, предупреждению и ликвидации чрезвычайных ситуаций</t>
  </si>
  <si>
    <t>03 2 02 00000</t>
  </si>
  <si>
    <t>03 2 02 03210</t>
  </si>
  <si>
    <t>Мероприятия по формированию культуры пожаробезопасного поведения</t>
  </si>
  <si>
    <t>03 2 02 04110</t>
  </si>
  <si>
    <t>Мероприятия по противопожарной защите городских лесов</t>
  </si>
  <si>
    <t>03 2 02 05230</t>
  </si>
  <si>
    <t>Содержание источников противопожарного водоснабжения</t>
  </si>
  <si>
    <t>03 4 00 00000</t>
  </si>
  <si>
    <t>Подпрограмма "Охрана окружающей среды Соликамского городского округа"</t>
  </si>
  <si>
    <t>03 4 01 00000</t>
  </si>
  <si>
    <t>Основное мероприятие "Повышение экологической безопасности"</t>
  </si>
  <si>
    <t>03 4 01 04120</t>
  </si>
  <si>
    <t>Охрана, использование и воспроизводство городских лесов</t>
  </si>
  <si>
    <t>03 4 01 06110</t>
  </si>
  <si>
    <t>Обеспечение функций в сфере охраны окружающей среды и экологической безопасности</t>
  </si>
  <si>
    <t>03 4 02 00000</t>
  </si>
  <si>
    <t>Основное мероприятие "Повышение экологического образования, уровня экологической культуры"</t>
  </si>
  <si>
    <t>03 4 02 06120</t>
  </si>
  <si>
    <t>Экологическое образование и формирование экологической культуры</t>
  </si>
  <si>
    <t>03 9 00 00000</t>
  </si>
  <si>
    <t>03 9 01 00000</t>
  </si>
  <si>
    <t>03 9 01 00080</t>
  </si>
  <si>
    <t>Обеспечение деятельности казенных учреждений</t>
  </si>
  <si>
    <t>04 0 00 00000</t>
  </si>
  <si>
    <t>Муниципальная программа "Экономическое развитие Соликамского городского округа"</t>
  </si>
  <si>
    <t>04 1 00 00000</t>
  </si>
  <si>
    <t>Подпрограмма "Развитие малого и среднего предпринимательства в Соликамском городском округе"</t>
  </si>
  <si>
    <t>04 1 01 00000</t>
  </si>
  <si>
    <t>Основное мероприятие "Развитие малого и среднего предпринимательства"</t>
  </si>
  <si>
    <t>04 1 01 04230</t>
  </si>
  <si>
    <t xml:space="preserve">Поддержка инфраструктуры малого и среднего предпринимательства </t>
  </si>
  <si>
    <t>04 2 00 00000</t>
  </si>
  <si>
    <t>Подпрограмма "Эффективное управление и распоряжение муниципальным имуществом и земельными ресурсами в Соликамском городском округе"</t>
  </si>
  <si>
    <t>04 2 01 00000</t>
  </si>
  <si>
    <t>Основное мероприятие "Эффективное управление и распоряжение муниципальным имуществом"</t>
  </si>
  <si>
    <t>04 2 01 01210</t>
  </si>
  <si>
    <t>Управление объектами муниципальной недвижимости</t>
  </si>
  <si>
    <t>04 2 02 00000</t>
  </si>
  <si>
    <t>Основное мероприятие "Эффективное управление и распоряжение земельными ресурсами"</t>
  </si>
  <si>
    <t>04 2 02 01230</t>
  </si>
  <si>
    <t>04 9 00 00000</t>
  </si>
  <si>
    <t>Подпрограмма "Обеспечение реализации муниципальной программы "Экономическое развитие Соликамского городского округа"</t>
  </si>
  <si>
    <t>04 9 01 00000</t>
  </si>
  <si>
    <t>04 9 01 00040</t>
  </si>
  <si>
    <t>04 9 01 01220</t>
  </si>
  <si>
    <t>05 0 00 00000</t>
  </si>
  <si>
    <t>Муниципальная программа "Развитие инфраструктуры и комфортной городской среды Соликамского городского округа"</t>
  </si>
  <si>
    <t>05 1 00 00000</t>
  </si>
  <si>
    <t>Подпрограмма "Благоустройство Соликамского городского округа "</t>
  </si>
  <si>
    <t>05 1 01 00000</t>
  </si>
  <si>
    <t>Основное мероприятие "Формирование благоприятных и комфортных условий проживания граждан"</t>
  </si>
  <si>
    <t>05 1 01 05310</t>
  </si>
  <si>
    <t>05 1 01 05320</t>
  </si>
  <si>
    <t>05 1 02 00000</t>
  </si>
  <si>
    <t>Основное мероприятие "Улучшение внешнего облика города и условий проживания граждан города"</t>
  </si>
  <si>
    <t>05 1 02 05330</t>
  </si>
  <si>
    <t>Восстановление и поддержка технического состояния объектов благоустройства</t>
  </si>
  <si>
    <t>05 1 02 05340</t>
  </si>
  <si>
    <t>05 2 00 00000</t>
  </si>
  <si>
    <t>Подпрограмма "Развитие коммунальной инфраструктуры и повышение энергетической эффективности на территории Соликамского городского округа"</t>
  </si>
  <si>
    <t>05 2 01 00000</t>
  </si>
  <si>
    <t>Основное мероприятие "Повышение эффективности использования энергетических ресурсов в коммунальной, бюджетной и жилищной сферах"</t>
  </si>
  <si>
    <t>05 2 01 05210</t>
  </si>
  <si>
    <t>Управление (эксплуатация) бесхозяйных сетей холодного и горячего водоснабжения, водоотведения, теплоснабжения и газоснабжения</t>
  </si>
  <si>
    <t>05 2 02 00000</t>
  </si>
  <si>
    <t>Основное мероприятие "Обеспечение земельных участков объектами инженерной инфраструктуры"</t>
  </si>
  <si>
    <t>400</t>
  </si>
  <si>
    <t>05 3 00 00000</t>
  </si>
  <si>
    <t>Подпрограмма "Развитие и содержание дорог Соликамского городского округа"</t>
  </si>
  <si>
    <t>05 3 01 00000</t>
  </si>
  <si>
    <t>Основное мероприятие "Содержание автодорог и искусственных сооружений на них в соответствии с необходимыми требованиями"</t>
  </si>
  <si>
    <t>05 3 01 04510</t>
  </si>
  <si>
    <t>05 3 01 05220</t>
  </si>
  <si>
    <t>05 3 02 00000</t>
  </si>
  <si>
    <t>05 3 02 04520</t>
  </si>
  <si>
    <t>Капитальный ремонт, ремонт автомобильных дорог и искусственных сооружений на них (долевое участие местного бюджета)</t>
  </si>
  <si>
    <t>05 4 00 00000</t>
  </si>
  <si>
    <t>Подпрограмма "Поддержка технического состояния и развитие жилищного фонда Соликамского городского округа"</t>
  </si>
  <si>
    <t>05 4 01 00000</t>
  </si>
  <si>
    <t>Основное мероприятие "Обеспечение комфортного и безопасного жилья"</t>
  </si>
  <si>
    <t>05 4 01 05110</t>
  </si>
  <si>
    <t>05 4 01 05120</t>
  </si>
  <si>
    <t>05 4 01 05140</t>
  </si>
  <si>
    <t>Обеспечение безопасных условий проживания в ветхом и аварийном жилищном фонде</t>
  </si>
  <si>
    <t>05 4 02 00000</t>
  </si>
  <si>
    <t>Основное мероприятие "Обеспечение мероприятий по переселению граждан из аварийного жилищного фонда"</t>
  </si>
  <si>
    <t>Капитальные вложения в объекты государственной (муниципальной) собственности</t>
  </si>
  <si>
    <t>05 6 00 00000</t>
  </si>
  <si>
    <t>Подпрограмма "Развитие градостроительного планирования и регулирования использования территории Соликамского городского округа"</t>
  </si>
  <si>
    <t>05 6 01 00000</t>
  </si>
  <si>
    <t>Основное мероприятие "Обеспечение устойчивого развития территории Соликамского городского округа градостроительными средствами"</t>
  </si>
  <si>
    <t>05 6 01 04610</t>
  </si>
  <si>
    <t>Ведение информационной системы обеспечения градостроительной деятельности</t>
  </si>
  <si>
    <t>05 6 01 04620</t>
  </si>
  <si>
    <t>Управление градостроительной деятельностью на территории Соликамского городского округа</t>
  </si>
  <si>
    <t>05 9 00 00000</t>
  </si>
  <si>
    <t>Подпрограмма "Обеспечение реализации муниципальной программы "Развитие инфраструктуры и комфортной городской среды Соликамского городского округа"</t>
  </si>
  <si>
    <t>05 9 01 00000</t>
  </si>
  <si>
    <t>05 9 01 00040</t>
  </si>
  <si>
    <t>05 9 01 00080</t>
  </si>
  <si>
    <t>05 9 01 02010</t>
  </si>
  <si>
    <t>06 0 00 00000</t>
  </si>
  <si>
    <t>Муниципальная программа "Физическая культура и спорт Соликамска"</t>
  </si>
  <si>
    <t>06 1 00 00000</t>
  </si>
  <si>
    <t>06 1 01 00000</t>
  </si>
  <si>
    <t>Основное мероприятие "Развитие инфраструктуры и материально-технической базы учреждений физической культуры и спорта"</t>
  </si>
  <si>
    <t>06 1 01 09300</t>
  </si>
  <si>
    <t>06 1 02 00000</t>
  </si>
  <si>
    <t>Основное мероприятие "Развитие потребности в занятии физической культурой и массовым спортом"</t>
  </si>
  <si>
    <t>06 1 02 09400</t>
  </si>
  <si>
    <t>06 9 00 00000</t>
  </si>
  <si>
    <t>Подпрограмма "Обеспечение реализации муниципальной программы "Физическая культура и спорт Соликамска"</t>
  </si>
  <si>
    <t>06 9 01 00000</t>
  </si>
  <si>
    <t>06 9 01 00040</t>
  </si>
  <si>
    <t>06 9 01 02060</t>
  </si>
  <si>
    <t>06 9 01 02140</t>
  </si>
  <si>
    <t>06 9 01 07520</t>
  </si>
  <si>
    <t>08 0 00 00000</t>
  </si>
  <si>
    <t>Муниципальная программа "Развитие общественного самоуправления в городе Соликамске"</t>
  </si>
  <si>
    <t>08 1 00 00000</t>
  </si>
  <si>
    <t>Подпрограмма "Поддержка и развитие общественных инициатив в Соликамском городском округе"</t>
  </si>
  <si>
    <t>08 1 01 00000</t>
  </si>
  <si>
    <t>08 1 01 01310</t>
  </si>
  <si>
    <t>08 2 00 00000</t>
  </si>
  <si>
    <t>08 2 01 00000</t>
  </si>
  <si>
    <t>Основное мероприятие "Обеспечение социальной поддержки ветеранов и пенсионеров города Соликамска"</t>
  </si>
  <si>
    <t>08 2 01 01310</t>
  </si>
  <si>
    <t>Развитие инициатив, поддержка социально-ориентированных некоммерческих организаций</t>
  </si>
  <si>
    <t>08 2 01 20100</t>
  </si>
  <si>
    <t>08 3 00 00000</t>
  </si>
  <si>
    <t>Подпрограмма "Социальная реабилитация и обеспечение жизнедеятельности инвалидов в Соликамском городском округе"</t>
  </si>
  <si>
    <t>08 3 01 00000</t>
  </si>
  <si>
    <t>08 3 01 01310</t>
  </si>
  <si>
    <t>09 0 00 00000</t>
  </si>
  <si>
    <t>Муниципальная программа "Социальная поддержка граждан в городе Соликамске"</t>
  </si>
  <si>
    <t>09 1 00 00000</t>
  </si>
  <si>
    <t>09 1 01 00000</t>
  </si>
  <si>
    <t>Основное мероприятие "Муниципальная поддержка молодых семей в решении жилищной проблемы"</t>
  </si>
  <si>
    <t>Мероприятия по обеспечению жильем молодых семей</t>
  </si>
  <si>
    <t>09 2 00 00000</t>
  </si>
  <si>
    <t>Подпрограмма "Социальная поддержка отдельных категорий граждан в Соликамском городском округе"</t>
  </si>
  <si>
    <t>09 2 01 00000</t>
  </si>
  <si>
    <t>Основное мероприятие "Оказание социальной поддержки отдельным категориям граждан"</t>
  </si>
  <si>
    <t>09 2 02 00000</t>
  </si>
  <si>
    <t>Основное мероприятие "Муниципальная поддержка отдельных категорий граждан"</t>
  </si>
  <si>
    <t>09 2 02 09620</t>
  </si>
  <si>
    <t>09 2 02 20110</t>
  </si>
  <si>
    <t>10 0 00 00000</t>
  </si>
  <si>
    <t>10 1 00 00000</t>
  </si>
  <si>
    <t>Подпрограмма "Развитие муниципальной службы в Соликамском городском округе"</t>
  </si>
  <si>
    <t>10 1 01 00000</t>
  </si>
  <si>
    <t>Основное мероприятие "Развитие и совершенствование муниципальной службы в администрации города Соликамска и ее отраслевых (функциональных) органах"</t>
  </si>
  <si>
    <t>10 1 01 01010</t>
  </si>
  <si>
    <t>Мероприятия по развитию управленческих кадров</t>
  </si>
  <si>
    <t>10 9 00 00000</t>
  </si>
  <si>
    <t>Подпрограмма "Обеспечение реализации муниципальной программы "Ресурсное обеспечение деятельности органов местного самоуправления Соликамского городского округа"</t>
  </si>
  <si>
    <t>10 9 01 00000</t>
  </si>
  <si>
    <t>10 9 01 00040</t>
  </si>
  <si>
    <t>10 9 01 00070</t>
  </si>
  <si>
    <t>10 9 01 00150</t>
  </si>
  <si>
    <t>10 9 01 01020</t>
  </si>
  <si>
    <t>10 9 01 20020</t>
  </si>
  <si>
    <t>10 9 01 20030</t>
  </si>
  <si>
    <t>Образование комиссий  по  делам несовершеннолетних  и  защите их прав и организацию их деятельности</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</si>
  <si>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</si>
  <si>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Составление протоколов об административных правонарушениях</t>
  </si>
  <si>
    <t>10 9 02 00000</t>
  </si>
  <si>
    <t>Основное мероприятие "Обеспечение сбалансированности и устойчивости бюджета Соликамского городского округа. Повышение качества управления муниципальными финансами"</t>
  </si>
  <si>
    <t>10 9 02 00040</t>
  </si>
  <si>
    <t>11 0 00 00000</t>
  </si>
  <si>
    <t>Муниципальная программа "Развитие информационного общества на территории Соликамского городского округа"</t>
  </si>
  <si>
    <t>11 1 00 00000</t>
  </si>
  <si>
    <t>Подпрограмма "Совершенствование системы предоставления муниципальных услуг и выполнения муниципальных функций"</t>
  </si>
  <si>
    <t>11 1 01 00000</t>
  </si>
  <si>
    <t>Основное мероприятие "Снижение административных барьеров и повышение доступности муниципальных услуг"</t>
  </si>
  <si>
    <t>11 1 01 01100</t>
  </si>
  <si>
    <t>11 2 00 00000</t>
  </si>
  <si>
    <t>Подпрограмма "Информационное общество"</t>
  </si>
  <si>
    <t>11 2 01 00000</t>
  </si>
  <si>
    <t>11 2 01 01110</t>
  </si>
  <si>
    <t>Сопровождение, поддержка и развитие ИТ-инфраструктуры</t>
  </si>
  <si>
    <t>11 9 00 00000</t>
  </si>
  <si>
    <t>Подпрограмма "Обеспечение реализации муниципальной программы "Развитие информационного общества на территории Соликамского городского округа"</t>
  </si>
  <si>
    <t>11 9 01 00000</t>
  </si>
  <si>
    <t>11 9 01 00150</t>
  </si>
  <si>
    <t>11 9 01 02080</t>
  </si>
  <si>
    <t>91 0 00 00000</t>
  </si>
  <si>
    <t>Обеспечение деятельности органов местного самоуправления</t>
  </si>
  <si>
    <t>91 0 00 00010</t>
  </si>
  <si>
    <t>91 0 00 00020</t>
  </si>
  <si>
    <t>Председатель Соликамской городской Думы</t>
  </si>
  <si>
    <t>91 0 00 00030</t>
  </si>
  <si>
    <t>Председатель Контрольно-счетной палаты Соликамского городского округа</t>
  </si>
  <si>
    <t>91 0 00 00050</t>
  </si>
  <si>
    <t>Депутаты Соликамской городской Думы, работающие на постоянной основе</t>
  </si>
  <si>
    <t>91 0 00 00060</t>
  </si>
  <si>
    <t>91 0 00 20010</t>
  </si>
  <si>
    <t>Компенсации депутатам за время осуществления полномочий</t>
  </si>
  <si>
    <t>91 0 00 00150</t>
  </si>
  <si>
    <t>92 0 00 00000</t>
  </si>
  <si>
    <t>Мероприятия, осуществляемые органами местного самоуправления в рамках непрограммных направлений расходов</t>
  </si>
  <si>
    <t>92 0 00 00070</t>
  </si>
  <si>
    <t>92 0 00 00960</t>
  </si>
  <si>
    <t>Проведение выборов депутатов Соликамской городской Думы</t>
  </si>
  <si>
    <t>10 9 01 2К080</t>
  </si>
  <si>
    <t>91 0 00 00040</t>
  </si>
  <si>
    <t>620</t>
  </si>
  <si>
    <t>0100</t>
  </si>
  <si>
    <t>Общегосударственные вопросы</t>
  </si>
  <si>
    <t>0106</t>
  </si>
  <si>
    <t xml:space="preserve">Обеспечение деятельности финансовых, налоговых и таможенных органов и органов финансового (финансово-бюджетного) надзора </t>
  </si>
  <si>
    <t>0113</t>
  </si>
  <si>
    <t>Другие общегосударственные вопросы</t>
  </si>
  <si>
    <t>621</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</si>
  <si>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</si>
  <si>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</si>
  <si>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622</t>
  </si>
  <si>
    <t>0102</t>
  </si>
  <si>
    <t>Функционирование высшего должностного лица субъекта Российской Федерации  и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</si>
  <si>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</si>
  <si>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</si>
  <si>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</si>
  <si>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</si>
  <si>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</si>
  <si>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</si>
  <si>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</si>
  <si>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</si>
  <si>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</si>
  <si>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</si>
  <si>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</si>
  <si>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</si>
  <si>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Подпрограмма "Общественная безопасность на территории Соликамского городского округа"</t>
  </si>
  <si>
    <t>0407</t>
  </si>
  <si>
    <t>Лесное хозяйство</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</si>
  <si>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</si>
  <si>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</si>
  <si>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</si>
  <si>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</si>
  <si>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</si>
  <si>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</si>
  <si>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</si>
  <si>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</si>
  <si>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</si>
  <si>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</si>
  <si>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</si>
  <si>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</si>
  <si>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</si>
  <si>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</si>
  <si>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</si>
  <si>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</si>
  <si>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0603</t>
  </si>
  <si>
    <t>Охрана объектов растительного и животного мира и среды их обитания</t>
  </si>
  <si>
    <t>0700</t>
  </si>
  <si>
    <t>Образование</t>
  </si>
  <si>
    <t>0702</t>
  </si>
  <si>
    <t xml:space="preserve">Общее образование </t>
  </si>
  <si>
    <t>0709</t>
  </si>
  <si>
    <t>Другие вопросы в области образования</t>
  </si>
  <si>
    <t>0800</t>
  </si>
  <si>
    <t>0804</t>
  </si>
  <si>
    <t xml:space="preserve">Другие вопросы в области культуры, кинематографии </t>
  </si>
  <si>
    <t>02 1 01 00150</t>
  </si>
  <si>
    <t>1000</t>
  </si>
  <si>
    <t>Социальная политика</t>
  </si>
  <si>
    <t>1001</t>
  </si>
  <si>
    <t>Пенсионное обеспечение</t>
  </si>
  <si>
    <t>1003</t>
  </si>
  <si>
    <t>Социальное обеспечение населения</t>
  </si>
  <si>
    <t>Другие вопросы в области социальной политики</t>
  </si>
  <si>
    <t>623</t>
  </si>
  <si>
    <t>624</t>
  </si>
  <si>
    <t>629</t>
  </si>
  <si>
    <t>0701</t>
  </si>
  <si>
    <t>Дошкольное образование</t>
  </si>
  <si>
    <t>01 1 01 07220</t>
  </si>
  <si>
    <t>0707</t>
  </si>
  <si>
    <t>Молодежная политика и оздоровление детей</t>
  </si>
  <si>
    <t>1004</t>
  </si>
  <si>
    <t>Охрана семьи и детства</t>
  </si>
  <si>
    <t>631</t>
  </si>
  <si>
    <t>02 4 00 00000</t>
  </si>
  <si>
    <t>0801</t>
  </si>
  <si>
    <t>Культура</t>
  </si>
  <si>
    <t>633</t>
  </si>
  <si>
    <t>1100</t>
  </si>
  <si>
    <t>Физическая культура и спорт</t>
  </si>
  <si>
    <t>1102</t>
  </si>
  <si>
    <t>Массовый спорт</t>
  </si>
  <si>
    <t>Другие вопросы в области физической культуры и спорта</t>
  </si>
  <si>
    <t>670</t>
  </si>
  <si>
    <t>Муниципальная программа "Ресурсное обеспечение деятельности органов местного самоуправления Соликамского городского округа"</t>
  </si>
  <si>
    <t>8</t>
  </si>
  <si>
    <t>Основное мероприятие "Развитие информационного общества, в том числе: "Электронного правительства""</t>
  </si>
  <si>
    <t xml:space="preserve">             Бюджетная классификация</t>
  </si>
  <si>
    <t>Судебная система</t>
  </si>
  <si>
    <t>Государственная регистрация актов гражданского состояния</t>
  </si>
  <si>
    <t>10 9 01 59300</t>
  </si>
  <si>
    <t>09 2 02 51350</t>
  </si>
  <si>
    <t>92 0 00 00950</t>
  </si>
  <si>
    <t>Расходы на исполнение решений судов, вступивших в законную силу</t>
  </si>
  <si>
    <t>Приведение в нормативное состояние муниципальных общеобразовательных учреждений (кроме долевого участия в ПРП)</t>
  </si>
  <si>
    <t>Бюджетные инвестиции в объекты муниципальной собственности Соликамского городского округа</t>
  </si>
  <si>
    <t>01 9 02 2Н020</t>
  </si>
  <si>
    <t>01 9 02 2Н080</t>
  </si>
  <si>
    <t>01 9 02 20060</t>
  </si>
  <si>
    <t>02 1 01 S8350</t>
  </si>
  <si>
    <t>Предупреждение правонарушений несовершеннолетних</t>
  </si>
  <si>
    <t>Установка, обслуживание и совершенствование систем видеонаблюдения на территории города</t>
  </si>
  <si>
    <t>03 1 04 03330</t>
  </si>
  <si>
    <t>03 1 04 00000</t>
  </si>
  <si>
    <t>05 2 02 04710</t>
  </si>
  <si>
    <t>01 1 01 40000</t>
  </si>
  <si>
    <t>Муниципальная программа "Развитие сферы культуры, туризма и молодежной политики Соликамского городского округа"</t>
  </si>
  <si>
    <t>Приведение в нормативное состояние муниципальных учреждений дополнительного образования (кроме долевого участия в ПРП)</t>
  </si>
  <si>
    <t>Демонтаж, перемещение, хранение, транспортирование и захоронение либо утилизация самовольно установленных и незаконно размещенных движимых объектов на территории Соликамского городского округа</t>
  </si>
  <si>
    <t>05 1 02 05370</t>
  </si>
  <si>
    <t>Организация мероприятий в области жилищного хозяйства</t>
  </si>
  <si>
    <t>Осуществление полномочий по созданию и организации деятельности административных комиссий</t>
  </si>
  <si>
    <t>Подпрограмма "Укрепление гражданского единства и межнационального согласия в Соликамском городском округе"</t>
  </si>
  <si>
    <t>08 4 01 00000</t>
  </si>
  <si>
    <t>08 4 00 00000</t>
  </si>
  <si>
    <t xml:space="preserve">Культура, кинематография </t>
  </si>
  <si>
    <t>Основное мероприятие "Обеспечение выполнения функций по соответствующему направлению деятельности"</t>
  </si>
  <si>
    <t>05 9 02 00000</t>
  </si>
  <si>
    <t>05 9 02 05510</t>
  </si>
  <si>
    <t>Оборудование систем освещения мест массового пребывания людей</t>
  </si>
  <si>
    <t>03 1 04 03350</t>
  </si>
  <si>
    <t>Пенсии за выслугу лет лицам, замещавшим должности муниципальной службы и лицам, замещавшим муниципальные должности (выборные на постоянной основе)</t>
  </si>
  <si>
    <t>Поддержка инновационных образовательных учреждений</t>
  </si>
  <si>
    <t>08 4 01 S1310</t>
  </si>
  <si>
    <t>Подпрограмма "Поддержка ветеранов войны, труда, Вооруженных сил и правоохранительных органов в Соликамском городском округе"</t>
  </si>
  <si>
    <t>Стимулирование педагогических работников по результатам обучения школьников</t>
  </si>
  <si>
    <t>01 1 02 70450</t>
  </si>
  <si>
    <t>Уточненный годовой план</t>
  </si>
  <si>
    <t xml:space="preserve">Процент исполнения </t>
  </si>
  <si>
    <t>Приложение  4</t>
  </si>
  <si>
    <t>к решению Соликамской</t>
  </si>
  <si>
    <t>городской Думы</t>
  </si>
  <si>
    <t>Раздел</t>
  </si>
  <si>
    <t>Подраз-дел</t>
  </si>
  <si>
    <t xml:space="preserve">Наименование </t>
  </si>
  <si>
    <t>Процент исполнения</t>
  </si>
  <si>
    <t>1</t>
  </si>
  <si>
    <t>2</t>
  </si>
  <si>
    <t>01</t>
  </si>
  <si>
    <t>00</t>
  </si>
  <si>
    <t>02</t>
  </si>
  <si>
    <t>03</t>
  </si>
  <si>
    <t>04</t>
  </si>
  <si>
    <t>05</t>
  </si>
  <si>
    <t>06</t>
  </si>
  <si>
    <t>11</t>
  </si>
  <si>
    <t>13</t>
  </si>
  <si>
    <t>09</t>
  </si>
  <si>
    <t>Защита населения и территории от последствий чрезвычайных ситуаций природного и техногенного характера, гражданская оборона</t>
  </si>
  <si>
    <t>10</t>
  </si>
  <si>
    <t>14</t>
  </si>
  <si>
    <t>07</t>
  </si>
  <si>
    <t>08</t>
  </si>
  <si>
    <t>Транспорт</t>
  </si>
  <si>
    <t>12</t>
  </si>
  <si>
    <t xml:space="preserve">Культура и кинематография </t>
  </si>
  <si>
    <t>Здравоохранение</t>
  </si>
  <si>
    <t>Физическая культура</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</si>
  <si>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</si>
  <si>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</si>
  <si>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бюджетам субъектов Российской Федерации и муниципальных образований общего характера</t>
  </si>
  <si>
    <t>Прочие межбюджетные трансферты общего характера</t>
  </si>
  <si>
    <t>Код бюджетной классификации</t>
  </si>
  <si>
    <t>Наименование показателя</t>
  </si>
  <si>
    <t>Исполнено</t>
  </si>
  <si>
    <t>администратора источника финансирования</t>
  </si>
  <si>
    <t>источника финансирования дефицита</t>
  </si>
  <si>
    <t xml:space="preserve">Финансовое управление администрации города Соликамска                                                                                                        </t>
  </si>
  <si>
    <t>01 05 02 01 04 0000 510</t>
  </si>
  <si>
    <t>Увеличение прочих остатков денежных средств бюджетов городских округов</t>
  </si>
  <si>
    <t>01 05 02 01 04 0000 610</t>
  </si>
  <si>
    <t>Уменьшение  прочих остатков денежных средств бюджетов городских округов</t>
  </si>
  <si>
    <t xml:space="preserve">итого источников финансирования дефицита бюджета </t>
  </si>
  <si>
    <t>Подпрограмма "Обеспечение реализации муниципальной программы "Развитие системы образования Соликамского городского округа"</t>
  </si>
  <si>
    <t>Подпрограмма "Развитие сферы туризма в Соликамском городском округе"</t>
  </si>
  <si>
    <t>Подпрограмма "Обеспечение условий для занятий физической культурой и спортом"</t>
  </si>
  <si>
    <t>Подпрограмма "Обеспечение жильем молодых семей в Соликамском городском округе"</t>
  </si>
  <si>
    <t>Депутаты Соликамской городской Думы, работающие на непостоянной основе</t>
  </si>
  <si>
    <t>Обеспечение представительской деятельности органов местного самоуправления</t>
  </si>
  <si>
    <t>Опубликование муниципальных правовых актов, оплата услуг по размещению информации о деятельности органов местного самоуправления</t>
  </si>
  <si>
    <t>Приложение 2</t>
  </si>
  <si>
    <t>тыс. руб.</t>
  </si>
  <si>
    <t>Наименование групп, подгрупп, статей, подстатей и  элементов  классификации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</si>
  <si>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</si>
  <si>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</si>
  <si>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</si>
  <si>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</si>
  <si>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</si>
  <si>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</si>
  <si>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</si>
  <si>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(перерасчёты,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</si>
  <si>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</si>
  <si>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</si>
  <si>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</si>
  <si>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</si>
  <si>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</si>
  <si>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</si>
  <si>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</si>
  <si>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(перерасчёты,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</si>
  <si>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</si>
  <si>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</si>
  <si>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</si>
  <si>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</si>
  <si>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</si>
  <si>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(перерасчёты,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</si>
  <si>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</si>
  <si>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</si>
  <si>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</si>
  <si>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</si>
  <si>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</si>
  <si>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(перерасчёты,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</si>
  <si>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</si>
  <si>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</si>
  <si>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</si>
  <si>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</si>
  <si>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</si>
  <si>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</si>
  <si>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</si>
  <si>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</si>
  <si>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</si>
  <si>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</si>
  <si>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</si>
  <si>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</si>
  <si>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</si>
  <si>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</si>
  <si>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1 05 02000 02 0000 000</t>
  </si>
  <si>
    <t>Единый налог на вмененный доход для отдельных видов деятельности</t>
  </si>
  <si>
    <t>1 05 02010 02 1000 110</t>
  </si>
  <si>
    <t>Единый налог на вмененный доход для отдельных видов деятельности (сумма платежа (перерасчёты,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</si>
  <si>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</si>
  <si>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</si>
  <si>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</si>
  <si>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</si>
  <si>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</si>
  <si>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</si>
  <si>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</si>
  <si>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</si>
  <si>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</si>
  <si>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</si>
  <si>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</si>
  <si>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(перерасчёты, недоимка и задолженность по соответствующему платежу, в том числе по отмененному)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</si>
  <si>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</si>
  <si>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</si>
  <si>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 xml:space="preserve"> 1 06 00000 00 0000 000</t>
  </si>
  <si>
    <t>НАЛОГИ НА ИМУЩЕСТВО</t>
  </si>
  <si>
    <t xml:space="preserve"> 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</si>
  <si>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</si>
  <si>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</si>
  <si>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(перерасчёты,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</si>
  <si>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</si>
  <si>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</si>
  <si>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</si>
  <si>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</si>
  <si>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 xml:space="preserve"> 1 06 04000 00 0000 110</t>
  </si>
  <si>
    <t>Транспортный налог</t>
  </si>
  <si>
    <t xml:space="preserve">Транспортный налог с организаций </t>
  </si>
  <si>
    <t>1 06 04011 02 1000 110</t>
  </si>
  <si>
    <t>Транспортный налог с организаций (сумма платежа (перерасчёты,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</si>
  <si>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</si>
  <si>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</si>
  <si>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</si>
  <si>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</si>
  <si>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1 06 04012 02 0000 110</t>
  </si>
  <si>
    <t>Транспортный налог с физических лиц</t>
  </si>
  <si>
    <t>1 06 04012 02 1000 110</t>
  </si>
  <si>
    <t>Транспортный налог с физических лиц (сумма платежа (перерасчёты,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</si>
  <si>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</si>
  <si>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</si>
  <si>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1 06 04012 02 4000 110</t>
  </si>
  <si>
    <t>Транспортный налог с физических лиц (прочие поступления)</t>
  </si>
  <si>
    <t xml:space="preserve"> 1 06 06000 00 0000 110</t>
  </si>
  <si>
    <t>Земельный налог</t>
  </si>
  <si>
    <t xml:space="preserve"> 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</si>
  <si>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</si>
  <si>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</si>
  <si>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(перерасчёты,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</si>
  <si>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</si>
  <si>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</si>
  <si>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</si>
  <si>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округов(суммы денежных взысканий (штрафов) по соответствующему платежу согласно законодательству Российской Федерации)</t>
  </si>
  <si>
    <t xml:space="preserve"> 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</si>
  <si>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</si>
  <si>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</si>
  <si>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(перерасчёты,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</si>
  <si>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</si>
  <si>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</si>
  <si>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</si>
  <si>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</si>
  <si>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 xml:space="preserve"> 1 08 00000 00 0000 000</t>
  </si>
  <si>
    <t>Государственная пошлина</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</si>
  <si>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</si>
  <si>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(перерасчёты, недоимка и задолженность по соответствующему платежу, в том числе по отмененному)</t>
  </si>
  <si>
    <t>1 08 07150 01 0000 110</t>
  </si>
  <si>
    <t xml:space="preserve">Государственная пошлина за выдачу разрешения на установку рекламной конструкции </t>
  </si>
  <si>
    <t>1 08 07150 01 1000 110</t>
  </si>
  <si>
    <t>Государственная пошлина за выдачу разрешения на установку рекламной конструкции (сумма платежа (перерасчёты, недоимка и задолженность по соответствующему платежу, в том числе по отмененному)</t>
  </si>
  <si>
    <t>1 08 07173 01 0000 110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</si>
  <si>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</si>
  <si>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</si>
  <si>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(перерасчёты, недоимка и задолженность по соответствующему платежу, в том числе по отмененному)</t>
  </si>
  <si>
    <t xml:space="preserve"> 1 11 00000 00 0000 000</t>
  </si>
  <si>
    <t>Доходы от использования имущества, находящегося в государственной и муниципальной собственности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</si>
  <si>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</si>
  <si>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</si>
  <si>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</si>
  <si>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</si>
  <si>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</si>
  <si>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</si>
  <si>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</si>
  <si>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</si>
  <si>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</si>
  <si>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</si>
  <si>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</si>
  <si>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</si>
  <si>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</si>
  <si>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</si>
  <si>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</si>
  <si>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</si>
  <si>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</si>
  <si>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</si>
  <si>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1 12 04000 00 0000 120</t>
  </si>
  <si>
    <t>Плата за использование лесов</t>
  </si>
  <si>
    <t>1 12 04041 04 0000 120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</si>
  <si>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</si>
  <si>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1 12 04042 04 0000 120</t>
  </si>
  <si>
    <t>Плата за использование лесов, расположенных на землях иных категорий, находящихся в собственности городских округов, в части арендной платы</t>
  </si>
  <si>
    <t xml:space="preserve"> 1 13 0000 00 0000 000</t>
  </si>
  <si>
    <t>Доходы от оказания платных услуг (работ) и компенсации затрат государства</t>
  </si>
  <si>
    <t>1 13 01994 04 0000 130</t>
  </si>
  <si>
    <t xml:space="preserve">Прочие доходы от оказания платных услуг (работ) получателями средств бюджетов городских округов </t>
  </si>
  <si>
    <t>1 13 02994 04 0000 130</t>
  </si>
  <si>
    <t xml:space="preserve">Прочие доходы от компенсации затрат бюджетов городских округов </t>
  </si>
  <si>
    <t xml:space="preserve"> 1 14 00000 00 0000 000</t>
  </si>
  <si>
    <t>Доходы от продажи материальных и нематериальных активов</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</si>
  <si>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</si>
  <si>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</si>
  <si>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</si>
  <si>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</si>
  <si>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</si>
  <si>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</si>
  <si>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</si>
  <si>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</si>
  <si>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</si>
  <si>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</si>
  <si>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1 16 03010 01 6000 140</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</si>
  <si>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</si>
  <si>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</si>
  <si>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</si>
  <si>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</si>
  <si>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</si>
  <si>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</si>
  <si>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</si>
  <si>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</si>
  <si>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</si>
  <si>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</si>
  <si>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</si>
  <si>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</si>
  <si>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</si>
  <si>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</si>
  <si>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 (федеральные казенные учреждения)</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</si>
  <si>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</si>
  <si>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</si>
  <si>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</si>
  <si>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</si>
  <si>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</si>
  <si>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</si>
  <si>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1 16 45000 01 6000 140</t>
  </si>
  <si>
    <t>Денежные взыскания (штрафы) за нарушение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</si>
  <si>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</si>
  <si>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</si>
  <si>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1 16 90040 04 1000 140</t>
  </si>
  <si>
    <t>Прочие поступления от денежных взысканий (штрафов) и иных сумм в возмещение ущерба, зачисляемые в бюджеты городских округов (оплата пропусков за проезд по муниципальным автомобильным дорогам в период весенней распутицы)</t>
  </si>
  <si>
    <t>1 16 90040 04 2000 140</t>
  </si>
  <si>
    <t>Прочие поступления от денежных взысканий (штрафов) и иных сумм в возмещение ущерба, зачисляемые в бюджеты городских округов (неустойка за нарушение условий муниципальных контрактов на поставку товаров, выполнение работ, оказание услуг)</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</si>
  <si>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</si>
  <si>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</si>
  <si>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1 16 90040 04 7000 140</t>
  </si>
  <si>
    <t xml:space="preserve"> 1 17 00000 00 0000 180</t>
  </si>
  <si>
    <t>Прочие неналоговые доходы</t>
  </si>
  <si>
    <t>1 17 05040 04 0000 180</t>
  </si>
  <si>
    <t>Прочие неналоговые доходы бюджетов городских округов</t>
  </si>
  <si>
    <t xml:space="preserve"> 2 00 00000 00 0000 000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</si>
  <si>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</si>
  <si>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</si>
  <si>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</si>
  <si>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</si>
  <si>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Субсидии бюджетам городских округов на софинансирование капитальных вложений в объекты муниципальной собственности</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</si>
  <si>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</si>
  <si>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</si>
  <si>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</si>
  <si>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 xml:space="preserve"> 2 02 04000 00 0000 151</t>
  </si>
  <si>
    <t>Иные межбюджетные трансферты</t>
  </si>
  <si>
    <t>Прочие межбюджетные трансферты, передаваемые бюджетам городских округов</t>
  </si>
  <si>
    <t>2 07 00000 00 0000 000</t>
  </si>
  <si>
    <t>Прочие безвозмездные поступления в бюджеты городских округов</t>
  </si>
  <si>
    <t>2 07 04050 04 0000 180</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</si>
  <si>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</si>
  <si>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</si>
  <si>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</si>
  <si>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</si>
  <si>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</si>
  <si>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</si>
  <si>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 xml:space="preserve"> 2 19 00000 00 0000 000</t>
  </si>
  <si>
    <t xml:space="preserve">Возврат остатков субсидий, субвенций и иных межбюджетных трансфертов, имеющих целевое назначение, прошлых лет </t>
  </si>
  <si>
    <t>Всего доходов</t>
  </si>
  <si>
    <t>Приложение 1</t>
  </si>
  <si>
    <t>Код бюджетной  классификации</t>
  </si>
  <si>
    <t>главного администратора доходов бюджета</t>
  </si>
  <si>
    <t>доходов  бюджета  Соликамского                 городского округа</t>
  </si>
  <si>
    <t>048</t>
  </si>
  <si>
    <t>Федеральная служба по надзору в сфере природопользования</t>
  </si>
  <si>
    <t>Федеральное казначейство</t>
  </si>
  <si>
    <t>Федеральная служба по надзору в сфере транспорта</t>
  </si>
  <si>
    <t>Федеральная служба по надзору в сфере защиты прав потребителей и благополучия человека</t>
  </si>
  <si>
    <t>1 16 08010 01 6000 140</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</si>
  <si>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</si>
  <si>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Министерство Российской Федерации по делам гражданской обороны, чрезвычайным ситуациям и ликвидации последствий стихийных бедствий</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</si>
  <si>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</si>
  <si>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Федеральная налоговая служба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</si>
  <si>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</si>
  <si>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</si>
  <si>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Единый налог на вмененный доход для отдельных видов деятельности (пени по соответствующему платежу)</t>
  </si>
  <si>
    <t>Земельный налог с физических лиц, обладающих земельным участком, расположенным в границах городских округов(суммы денежных взысканий (штрафов) по соответствующему платежу согласно законодательству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</si>
  <si>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(перерасчёты, недоимка и задолженность по соответствующему платежу, в том числе по отмененному)</t>
  </si>
  <si>
    <t>Министерство внутренних дел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</si>
  <si>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</si>
  <si>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1 16 21040 04 6000 140</t>
  </si>
  <si>
    <t>Федеральная служба государственной регистрации, кадастра и картографии</t>
  </si>
  <si>
    <t>Федеральная служба по экологическому, технологическому и атомному надзору</t>
  </si>
  <si>
    <t>1 13 02994 04 1000 130</t>
  </si>
  <si>
    <t>Прочие доходы от компенсации затрат бюджетов городских округов (компенсация стоимости зеленых насаждений при их вырубках)</t>
  </si>
  <si>
    <t>Прочие поступления от денежных взысканий (штрафов) и иных сумм в возмещение ущерба, зачисляемые в бюджеты городских округов</t>
  </si>
  <si>
    <t>Комитет по архитектуре и градостроительству администрации г.Соликамска</t>
  </si>
  <si>
    <t>Управление имущественных отношений администрации г.Соликамска</t>
  </si>
  <si>
    <t>Доходы бюджетов городских округов от возврата автономными учреждениями остатков субсидий прошлых лет</t>
  </si>
  <si>
    <t>Финансовое управление администрации города Соликамска</t>
  </si>
  <si>
    <t>Инспекция государственного технического надзора Пермского края</t>
  </si>
  <si>
    <t>ВСЕГО РАСХОДОВ</t>
  </si>
  <si>
    <t/>
  </si>
  <si>
    <t>Содержание аппарата, в том числе Молодежного парламента СГО</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</si>
  <si>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</si>
  <si>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</si>
  <si>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Муниципальная программа "Развитие комплексной безопасности городской среды, развитие АПК "Безопасный город" на территории Соликамского городского округа"</t>
  </si>
  <si>
    <t>Развитие общественных инициатив; поддержка социально ориентированных некоммерческих организаций</t>
  </si>
  <si>
    <t>Развитие инициатив, поддержка социально ориентированных некоммерческих организаций</t>
  </si>
  <si>
    <t>Предоставление услуг и мероприятия по хранению, комплектованию, использованию архивных документов</t>
  </si>
  <si>
    <t>Выплаты Почетным гражданам и поощрений к Почетной грамоте</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</si>
  <si>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</si>
  <si>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Мероприятия по охране общественного порядка и профилактике правонарушений</t>
  </si>
  <si>
    <t>0406</t>
  </si>
  <si>
    <t>Водное хозяйство</t>
  </si>
  <si>
    <t>03 4 01 06150</t>
  </si>
  <si>
    <t>Установка границ охранных зон водных объектов</t>
  </si>
  <si>
    <t>Содержание автомобильных дорог и элементов благоустройства</t>
  </si>
  <si>
    <t>Основное мероприятие "Ремонт и капитальный ремонт автомобильных  дорог, транзитных объектов (транзитных мостов) и систем водоотвода"</t>
  </si>
  <si>
    <t>Капитальный ремонт, ремонт автомобильных дорог и искусственных сооружений на них</t>
  </si>
  <si>
    <t>Обеспечение мероприятий по капитальному ремонту муниципального жилищного фонда</t>
  </si>
  <si>
    <t>Содержание жилых помещений специализированного жилищного фонда для детей-сирот, детей, оставшихся без попечения родителей, лицам из их числа</t>
  </si>
  <si>
    <t xml:space="preserve">Обеспечение инфраструктурой земельных участков, предоставляемых многодетным семьям (проектные работы) </t>
  </si>
  <si>
    <t>05 2 02 00140</t>
  </si>
  <si>
    <t>Разработка проектно-сметной документации на объекты бюджетных инвестиций (строительство газопровода низкого давления северной части г.Соликамск)</t>
  </si>
  <si>
    <t>01 1 01 07390</t>
  </si>
  <si>
    <t>Создание благоприятных условий для проживания и отдыха горожан</t>
  </si>
  <si>
    <t>Организация содержания мест захоронений</t>
  </si>
  <si>
    <t>Освещение улиц</t>
  </si>
  <si>
    <t>Предоставление услуг (функций) по обеспечению деятельности в сфере благоустройства и дорожного хозяйства</t>
  </si>
  <si>
    <t>Создание условий для реализации полномочий органа местного самоуправления в сфере жилищно-коммунального и дорожного хозяйства</t>
  </si>
  <si>
    <t>03 4 01 06140</t>
  </si>
  <si>
    <t xml:space="preserve">Озеленение территории городского округа </t>
  </si>
  <si>
    <t>0703</t>
  </si>
  <si>
    <t>Дополнительное образование детей</t>
  </si>
  <si>
    <t>Оказание адресной помощи ветеранам</t>
  </si>
  <si>
    <t>Основное мероприятие "Социальная реабилитация и адаптация инвалидов города Соликамска"</t>
  </si>
  <si>
    <t>Мероприятия по привлечению медицинских кадров в учреждениях здравоохранения</t>
  </si>
  <si>
    <t>Обеспечение мероприятий по оказанию адресной помощи населению</t>
  </si>
  <si>
    <t>Оказание адресной материальной помощи малообеспеченным семьям с детьми, гражданам, попавшим в трудную или экстремальную жизненную ситуацию</t>
  </si>
  <si>
    <t xml:space="preserve">06 1 00 00000 </t>
  </si>
  <si>
    <t>06 1 01 09410</t>
  </si>
  <si>
    <t>Управление земельными ресурсами</t>
  </si>
  <si>
    <t>04 2 02 L5110</t>
  </si>
  <si>
    <t>Проведение комплексных кадастровых работ (долевое участие местного бюджета)</t>
  </si>
  <si>
    <t>01 1 01 02040</t>
  </si>
  <si>
    <t>Развитие технического творчества детей и молодежи</t>
  </si>
  <si>
    <t>Основное мероприятие "Повышение качества организационно-методических условий для развития муниципальной системы образования"</t>
  </si>
  <si>
    <t>Предоставление услуг присмотра и ухода в муниципальных дошкольных учреждениях</t>
  </si>
  <si>
    <t>03 1 04 03360</t>
  </si>
  <si>
    <t>Содействие трудоустройству несовершеннолетних</t>
  </si>
  <si>
    <t>01 9 01 07230</t>
  </si>
  <si>
    <t xml:space="preserve">Молодежная политика </t>
  </si>
  <si>
    <t>Мероприятия по профилактике потребления психоактивных веществ</t>
  </si>
  <si>
    <t>Выплата единовременной премии "Гордость Пермского края"</t>
  </si>
  <si>
    <t>Предоставление мер социальной поддержки педагогическим работникам учреждений дополнительного образования</t>
  </si>
  <si>
    <t>Мероприятия в сфере молодежной политики</t>
  </si>
  <si>
    <t>Публичный показ музейных предметов, музейных коллекций</t>
  </si>
  <si>
    <t>Библиотечное, библиографическое и информационное обслуживание пользователей библиотеки</t>
  </si>
  <si>
    <t>Организация досуга населения</t>
  </si>
  <si>
    <t>Оказание туристско-информационных услуг</t>
  </si>
  <si>
    <t xml:space="preserve">Предоставление услуг по дополнительному образованию </t>
  </si>
  <si>
    <t>06 1 02 20070</t>
  </si>
  <si>
    <t>Стипендии главы администрации города Соликамска ведущим спортсменам города</t>
  </si>
  <si>
    <t>Мероприятия по физической культуре и спорту</t>
  </si>
  <si>
    <t>06 1 02 09420</t>
  </si>
  <si>
    <t xml:space="preserve">Реализация мероприятий Всероссийского комплекса "ГТО"  </t>
  </si>
  <si>
    <t xml:space="preserve">Предоставление услуг в сфере физической культуры и спорта </t>
  </si>
  <si>
    <t>Обслуживание лицевых счетов органов государственной власти Пермского края, государственных краевых учреждений органами местного самоуправления Пермского края</t>
  </si>
  <si>
    <t>ИТОГО РАСХОДОВ:</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</si>
  <si>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</si>
  <si>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</si>
  <si>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</si>
  <si>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</si>
  <si>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</si>
  <si>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1 17 01040 04 0000 180</t>
  </si>
  <si>
    <t>Невыясненные поступления, зачисляемые в бюджеты городских округов</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</si>
  <si>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</si>
  <si>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</si>
  <si>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2 02 29999 04 0000 151 </t>
  </si>
  <si>
    <t>2 02 30024 04 0000 151</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</si>
  <si>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</si>
  <si>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</si>
  <si>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2 02 35135 04 0000 151</t>
  </si>
  <si>
    <t>2 02 39999 04 0000 151</t>
  </si>
  <si>
    <t>Прочие субвенции бюджетам городских округов</t>
  </si>
  <si>
    <t>2 02 49999 04 0000 151</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</si>
  <si>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</si>
  <si>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</si>
  <si>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</si>
  <si>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</si>
  <si>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</si>
  <si>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2 02 29999 04 0000 151</t>
  </si>
  <si>
    <t>2 02 25519 04 0000 151</t>
  </si>
  <si>
    <t>Субсидия бюджетам городских округов на поддержку отрасли культуры</t>
  </si>
  <si>
    <t>2 19 25020 04 0000 151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</si>
  <si>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</si>
  <si>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2 02 15001 04 0000 151</t>
  </si>
  <si>
    <t>Государственная инспекция по экологии и природопользованию Пермского края</t>
  </si>
  <si>
    <t>1 16 25030 01 0000 140</t>
  </si>
  <si>
    <t>Денежные взыскания (штрафы) за нарушение законодательства Российской Федерации об охране и использовании животного мира</t>
  </si>
  <si>
    <t>Инспекция государственного жилищного надзора Пермского края</t>
  </si>
  <si>
    <t>по кодам поступлений в бюджет (группам, подгруппам, статьям, подстатьям и элементам классификации доходов)</t>
  </si>
  <si>
    <t>Коды поступлений          в бюджет</t>
  </si>
  <si>
    <t>1 05 03000 01 0000 110</t>
  </si>
  <si>
    <t>Единый сельскохозяйственный налог</t>
  </si>
  <si>
    <t xml:space="preserve"> 1 06 04011 02 0000 110</t>
  </si>
  <si>
    <t>1 12 00000 00 0000 000</t>
  </si>
  <si>
    <t>1 17 01000 00 0000 180</t>
  </si>
  <si>
    <t>Невыясненные поступления</t>
  </si>
  <si>
    <t>1 17 05000 04 0000 180</t>
  </si>
  <si>
    <t xml:space="preserve"> 2 02 10000 00 0000 151</t>
  </si>
  <si>
    <t xml:space="preserve">Дотации бюджетам бюджетной системы Российской Федерации </t>
  </si>
  <si>
    <t>2 02 20000 00 0000 151</t>
  </si>
  <si>
    <t>Субсидии бюджетам бюджетной системы Российской Федерации (межбюджетные субсидии)</t>
  </si>
  <si>
    <t>2 02 20077 04 0000 151</t>
  </si>
  <si>
    <t>2 02 30000 00 0000 151</t>
  </si>
  <si>
    <t xml:space="preserve">Субвенции бюджетам бюджетной системы  Российской Федерации </t>
  </si>
  <si>
    <t>2 02 35930 04 0000 151</t>
  </si>
  <si>
    <t xml:space="preserve">Прочие безвозмездные поступления </t>
  </si>
  <si>
    <t>Возврат остатков субсидий на мероприятия подпрограммы "Обеспечение жильем молодых семей" федеральной целевой программы "Жилище" на 2015-2020 годы из бюджетов городских округов</t>
  </si>
  <si>
    <t>02 9 01 R5190</t>
  </si>
  <si>
    <t xml:space="preserve">Расходы бюджета Соликамского городского округа за 2018 год по ведомственной структуре расходов местного бюджета </t>
  </si>
  <si>
    <t>0705</t>
  </si>
  <si>
    <t>Профессиональная подготовка, переподготовка и повышение квалификации</t>
  </si>
  <si>
    <t>в том числе:</t>
  </si>
  <si>
    <t xml:space="preserve">Глава города Соликамска - глава администрации города Соликамска  </t>
  </si>
  <si>
    <t>09 2 02 2С090</t>
  </si>
  <si>
    <t>10 9 01 2П040</t>
  </si>
  <si>
    <t>10 9 01 2П060</t>
  </si>
  <si>
    <t>10 9 01 2С050</t>
  </si>
  <si>
    <t>10 9 01 2С250</t>
  </si>
  <si>
    <t>Осуществление государственных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</si>
  <si>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10 9 01 2Т060</t>
  </si>
  <si>
    <t>0105</t>
  </si>
  <si>
    <t>10 9 01 51200</t>
  </si>
  <si>
    <t xml:space="preserve">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</si>
  <si>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0107</t>
  </si>
  <si>
    <t>Обеспечение проведения выборов и референдумов</t>
  </si>
  <si>
    <t>Основное мероприятие "Развитие взаимодействия органов местного самоуправления с гражданским обществом"</t>
  </si>
  <si>
    <t>08 1 01 SР070</t>
  </si>
  <si>
    <t>Софинансирование мероприятий по реализации социально-значимых проектов ТОС (долевое участие местного бюджета)</t>
  </si>
  <si>
    <t>Софинансирование мероприятий по реализации социально-значимых проектов ТОС (долевое участие юридических и других лиц)</t>
  </si>
  <si>
    <t>Софинансирование мероприятий по реализации социально-значимых проектов ТОС  (долевое участие краевого бюджета)</t>
  </si>
  <si>
    <t>Основное мероприятие "Содействие формированию гармоничной межнациональной и межконфессиональной ситуации в городе"</t>
  </si>
  <si>
    <t>Обеспечение качества предоставления услуг и выполнения функций</t>
  </si>
  <si>
    <t>92 0 00 00910</t>
  </si>
  <si>
    <t>Мероприятия по централизации бухгалтерского (бюджетного) учета, планирования финансово-хозяйственной деятельности и составления отчетности в органах местного самоуправления и муниципальных учреждениях</t>
  </si>
  <si>
    <t>92 0 00 S 0920</t>
  </si>
  <si>
    <t>Софинансирование проектов инициативного бюджетирования (долевое участие местного бюджета)</t>
  </si>
  <si>
    <t>92 0 00 SР040</t>
  </si>
  <si>
    <t>Основное мероприятие "Профилактика терроризма"</t>
  </si>
  <si>
    <t>Подпрограмма "Обеспечение реализации муниципальной программы "Развитие комплексной безопасности городской среды, развитие АПК "Безопасный город" на территории Соликамского городского округа"</t>
  </si>
  <si>
    <t>Основное мероприятие "Создание эффективной системы пожарной безопасности "</t>
  </si>
  <si>
    <t>03 1 01 2П050</t>
  </si>
  <si>
    <t>03 1 01 SП020</t>
  </si>
  <si>
    <t>05 3 02 SТ040</t>
  </si>
  <si>
    <t>02 2 01 08500</t>
  </si>
  <si>
    <t>Формирование имиджа и бренда города</t>
  </si>
  <si>
    <t>05 4 02 SЖ160</t>
  </si>
  <si>
    <r>
      <t xml:space="preserve">Обеспечение мероприятий по переселению граждан из аварийного жилищного фонда </t>
    </r>
    <r>
      <rPr>
        <sz val="14"/>
        <color indexed="60"/>
        <rFont val="Times New Roman"/>
        <family val="1"/>
      </rPr>
      <t>(долевое участие местного бюджета)</t>
    </r>
  </si>
  <si>
    <t>Обеспечение мероприятий по переселению граждан из аварийного жилищного фонда (долевое участие краевого бюджета)</t>
  </si>
  <si>
    <t>09 2 02 2С070</t>
  </si>
  <si>
    <t>05 2 02 05270</t>
  </si>
  <si>
    <t>Реконструкция, модернизация и развитие коммунальной инфраструктуры</t>
  </si>
  <si>
    <t>05 2 02 40000</t>
  </si>
  <si>
    <t>05 2 02 45270</t>
  </si>
  <si>
    <t>Инвестиционный проект "Газопровод высокого давления по ул. Фрунзе на участке от пересечения с ул. Северная до северного кладбища"</t>
  </si>
  <si>
    <t>05 2 02 45290</t>
  </si>
  <si>
    <t>Строительство водопровода Ду-50мм (от пересечения ул. Пролетарская-Советская до пересечения ул. Всеобуча-Заречная)</t>
  </si>
  <si>
    <t>Основное мероприятие "Создание условий и новых форм для качественных изменений материально-технической составляющей муниципальной системы образования"</t>
  </si>
  <si>
    <t>Приведение в нормативное состояние территорий учреждений общего и дополнительного образования</t>
  </si>
  <si>
    <t>Мероприятия по улучшению санитарного состояния территории города</t>
  </si>
  <si>
    <t>05 1 03 00000</t>
  </si>
  <si>
    <t xml:space="preserve">Основное мероприятие "Повышение уровня благоустройства нуждающихся в благоустройстве территорий общего пользования Соликамского городского округа, а также дворовых территорий многоквартирных домов"  </t>
  </si>
  <si>
    <t>05 1 03 05310</t>
  </si>
  <si>
    <t>Реализация муниципальной адресной программы Соликамского городского округа "Формирование современной городской среды на 2018-2022 годы" (кроме долевого участия)</t>
  </si>
  <si>
    <t>05 1 03 05360</t>
  </si>
  <si>
    <t>Осуществление строительного контроля по благоустройству дворовых территорий</t>
  </si>
  <si>
    <t>05 1 03 L5550</t>
  </si>
  <si>
    <t>Реализация муниципальной адресной программы Соликамского городского округа "Формирование современной городской среды на 2018-2022 годы" (долевое участие местного бюджета)</t>
  </si>
  <si>
    <t>Реализация муниципальной адресной программы Соликамского городского округа "Формирование современной городской среды на 2018-2022 годы" (долевое участие федерального и краевого бюджета)</t>
  </si>
  <si>
    <t>05 1 03 SЖ090</t>
  </si>
  <si>
    <t>Реализация муниципальной адресной программы Соликамского городского округа "Формирование современной городской среды на 2018-2022 годы" (долевое участие местного бюджета, без софинансирования из федерального бюджета)</t>
  </si>
  <si>
    <t>Реализация муниципальной адресной программы Соликамского городского округа "Формирование современной городской среды на 2018-2022 годы" (долевое участие краевого бюджета, без софинансирования из федерального бюджета)</t>
  </si>
  <si>
    <t>05 1 03 L5600</t>
  </si>
  <si>
    <t>Обустройство мест массового отдыха населения (городских парков) (долевое участие ФБ)</t>
  </si>
  <si>
    <t>Обустройство мест массового отдыха населения (городских парков) (долевое участие КБ, с ФБ)</t>
  </si>
  <si>
    <t>05 1 03 SЖ100</t>
  </si>
  <si>
    <t>Обустройство мест массового отдыха населения (городских парков) (долевое участие местного бюджета, без ФБ)</t>
  </si>
  <si>
    <t>Обустройство мест массового отдыха населения (городских парков) (долевое участие КБ, без ФБ)</t>
  </si>
  <si>
    <t>01 1 01 07410</t>
  </si>
  <si>
    <t>Разработка проектно-сметной документации на строительство здания МАОУ "Гимназия № 2"</t>
  </si>
  <si>
    <t>01 1 01 SР040</t>
  </si>
  <si>
    <t xml:space="preserve">Софинансирование расходных обязательств по исполнению полномочий органов местного самоуправления по вопросам местного значения (Реконструкция зданий МАОУ "Основная общеобразовательная школа № 13" по адресу: г. Соликамск, ул. Добролюбова, 16)  - долевое участие краевого бюджета </t>
  </si>
  <si>
    <t xml:space="preserve">Софинансирование расходных обязательств по исполнению полномочий органов местного самоуправления по вопросам местного значения (Реконструкция зданий МАОУ "Основная общеобразовательная школа № 13" по адресу: г. Соликамск, ул. Добролюбова, 16) - долевое участие местного бюджета </t>
  </si>
  <si>
    <t>0900</t>
  </si>
  <si>
    <t>0907</t>
  </si>
  <si>
    <t>Санитарно-эпидемиологическое благополучие</t>
  </si>
  <si>
    <t>03 1 05 00000</t>
  </si>
  <si>
    <t>Основное мероприятие "Обеспечение мероприятий по санитарно-эпидеомиологическому благополучию"</t>
  </si>
  <si>
    <t>03 1 05 05320</t>
  </si>
  <si>
    <t>03 1 05 2У090</t>
  </si>
  <si>
    <t>Мероприятия по отлову безнадзорных животных, их транспортировке, учету и регистрации, содержанию, лечению, кастрации (стерилизации), эвтаназии, утилизации</t>
  </si>
  <si>
    <t>03 1 05 2У100</t>
  </si>
  <si>
    <r>
      <t>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t>
    </r>
    <r>
      <rPr>
        <sz val="14"/>
        <color indexed="10"/>
        <rFont val="Times New Roman"/>
        <family val="1"/>
      </rPr>
      <t xml:space="preserve"> </t>
    </r>
    <r>
      <rPr>
        <sz val="14"/>
        <color indexed="12"/>
        <rFont val="Times New Roman"/>
        <family val="1"/>
      </rPr>
      <t>утилизации</t>
    </r>
  </si>
  <si>
    <t>05 9 02 2С260</t>
  </si>
  <si>
    <t>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t>
  </si>
  <si>
    <t xml:space="preserve">Обеспечение жильем отдельных категорий граждан, установленных федеральным законом от 12 января 1995 года № 5-ФЗ "О ветеранах" </t>
  </si>
  <si>
    <t>09 2 02 51760</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</si>
  <si>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</si>
  <si>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 2 02 2С080</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</si>
  <si>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</si>
  <si>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08 3 01 01330</t>
  </si>
  <si>
    <t>Формирование доступной среды жизнедеятельности для инвалидов</t>
  </si>
  <si>
    <t>09 2 02 09100</t>
  </si>
  <si>
    <t xml:space="preserve">Обеспечение населения спортивными сооружениями, исходя из нормативной потребности (разработка и экспертиза  проектно-сметной документации на объекты бюджетных инвестиций) </t>
  </si>
  <si>
    <t>06 1 01 40000</t>
  </si>
  <si>
    <t>06 1 01 40200</t>
  </si>
  <si>
    <t xml:space="preserve">"Строительство крытого ледового катка с искусственным покрытием" в г.Соликамске Пермского края </t>
  </si>
  <si>
    <t xml:space="preserve">06 1 01 SР040 </t>
  </si>
  <si>
    <t>Софинансирование расходных обязательств по исполнению полномочий органов местного самоуправления по вопросам местного значения (доля местного бюджета в ПРП)</t>
  </si>
  <si>
    <t>"Строительство универсальной спортивной площадки с искусственным покрытием (межшкольный стадион) по адресу: пр. Юбилейный, д. 15 в  г. Соликамске Пермского края" (территория МАОУ Гимназия №1)</t>
  </si>
  <si>
    <t xml:space="preserve">06 1 01 SФ130 </t>
  </si>
  <si>
    <t>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 (долевое участие местного бюджета)</t>
  </si>
  <si>
    <t>Устройство открытой спортивной площадки по адресу: ул. Цифриновича, д.29 в г. Соликамске Пермского края</t>
  </si>
  <si>
    <t>Устройство открытой спортивной площадки по адресу: пр. Юбилейный, д.49 а в г. Соликамске Пермского края</t>
  </si>
  <si>
    <t>Устройство открытой спортивной площадки по адресу: ул. Ст. Разина, д.12 в г. Соликамске Пермского края</t>
  </si>
  <si>
    <t>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 (долевое участие краевого бюджета)</t>
  </si>
  <si>
    <t>04 9 01 0000</t>
  </si>
  <si>
    <t>Содержание объектов казны</t>
  </si>
  <si>
    <t xml:space="preserve">Развитие вариативных форм дошкольного образования </t>
  </si>
  <si>
    <t>Приведение в нормативное состояние  муниципальных дошкольных учреждений  (кроме долевого участия в ПРП)</t>
  </si>
  <si>
    <t>Ремонт объекта общественной инфраструктуры МАДОУ "Детский сад № 38"</t>
  </si>
  <si>
    <t>Ремонт объекта общественной инфраструктуры  МАДОУ "ЦРР - Детский сад № 13 "Солнечный"</t>
  </si>
  <si>
    <t>Ремонт объекта общественной инфраструктуры  МАДОУ "ЦРР - Детский сад № 47"</t>
  </si>
  <si>
    <t>Ремонт объекта общественной инфраструктуры  МАДОУ "Детский сад № 49"</t>
  </si>
  <si>
    <t>Софинансирование расходных обязательств по исполнению полномочий органов местного самоуправления по вопросам местного значения (доля краевого бюджета в ПРП)</t>
  </si>
  <si>
    <t>Основное мероприятие "Повышение качества организационно-методических и социально-педагогических условий для развития муниципальной системы образования"</t>
  </si>
  <si>
    <t>Обеспечение питанием детей с ограниченными возможностями здоровья, обучающихся в дошкольных и общеобразовательных учреждениях</t>
  </si>
  <si>
    <t>Единая субвенция на выполнение отдельных государственных полномочий в сфере образования</t>
  </si>
  <si>
    <t>03 2 02 03370</t>
  </si>
  <si>
    <t>Совершенствование системы АПС в образовательных учреждениях</t>
  </si>
  <si>
    <t>Ремонт объекта общественной инфраструктуры  МАОУ "СОШ № 17"</t>
  </si>
  <si>
    <t>01 9 01 SН040</t>
  </si>
  <si>
    <t>01 9 02 0Н240</t>
  </si>
  <si>
    <t>01 9 02 SН040</t>
  </si>
  <si>
    <t>03 1 06 00000</t>
  </si>
  <si>
    <t>Основное мероприятие "Установка, обслуживание и совершенствование систем технического контроля на территории Соликамского городского округа"</t>
  </si>
  <si>
    <t>03 1 06 03380</t>
  </si>
  <si>
    <t xml:space="preserve">Приобретение, установка и содержание электронных проходных и металлодетекторов  </t>
  </si>
  <si>
    <t>Приведение в нормативное состояние  муниципальных учреждений  дополнительного образования (кроме долевого участия в ПРП)</t>
  </si>
  <si>
    <t>01 9 02 2С140</t>
  </si>
  <si>
    <t>09 2 01 SС240</t>
  </si>
  <si>
    <t>1101</t>
  </si>
  <si>
    <t>01 9 01 2Ф180</t>
  </si>
  <si>
    <t>Обеспечение условий для развития физической культуры и массового спорта</t>
  </si>
  <si>
    <t>Основное мероприятие "Развитие спортивной инфраструктуры и материально-технической базы муниципальных учреждений"</t>
  </si>
  <si>
    <r>
      <t>06 1 01</t>
    </r>
    <r>
      <rPr>
        <b/>
        <sz val="14"/>
        <rFont val="Times New Roman"/>
        <family val="1"/>
      </rPr>
      <t xml:space="preserve"> S</t>
    </r>
    <r>
      <rPr>
        <sz val="14"/>
        <rFont val="Times New Roman"/>
        <family val="1"/>
      </rPr>
      <t xml:space="preserve">Ф130 </t>
    </r>
  </si>
  <si>
    <t>Устройство крытой спортивной площадки по адресу: ул. Калийная, д.146 в г. Соликамске Пермского края</t>
  </si>
  <si>
    <t>06 1 01 SФ130</t>
  </si>
  <si>
    <t xml:space="preserve">Популяризация внутреннего и въездного туризма, формирование положительного туристского имиджа  </t>
  </si>
  <si>
    <t xml:space="preserve">Обследование и приведение в нормативное состояние учреждений, подведомственных Управлению культуры </t>
  </si>
  <si>
    <t xml:space="preserve">Оборудование систем оповещения и управления эвакуацией мест массового пребывания людей </t>
  </si>
  <si>
    <t>Cоздание безбарьерной среды в учреждениях, подведомственных Управлению культуры</t>
  </si>
  <si>
    <t xml:space="preserve">Поддержка отрасли культуры - пополнение книжного фонда (доля краевого и федерального бюджета) </t>
  </si>
  <si>
    <t xml:space="preserve">Оборудование систем освещения мест массового пребывания людей </t>
  </si>
  <si>
    <t xml:space="preserve">Основное мероприятие "Установка, обслуживание и совершенствование систем технического контроля на территории Соликамского городского округа" </t>
  </si>
  <si>
    <t>02 3 00 00000</t>
  </si>
  <si>
    <t>Подпрограмма "Сохранение объектов культурного наследия в Соликамском городском округе"</t>
  </si>
  <si>
    <t>02 3 01 00000</t>
  </si>
  <si>
    <t>Основное мероприятие "Сохранение и популяризация объектов культурного наследия"</t>
  </si>
  <si>
    <t>02 3 01 08200</t>
  </si>
  <si>
    <t>Мероприятия, направленные на восстановление и сохранение в удовлетворительном состоянии памятников истории, памятников монументального искусства, памятных мест</t>
  </si>
  <si>
    <t>09 1 01 2C020</t>
  </si>
  <si>
    <t>09 1 01 SC020</t>
  </si>
  <si>
    <t>09 1 01 L4970</t>
  </si>
  <si>
    <t xml:space="preserve">Обеспечение жильем молодых семей (доля местного бюджета) </t>
  </si>
  <si>
    <t xml:space="preserve">Обеспечение жильем молодых семей (доля краевого и федерального бюджета) </t>
  </si>
  <si>
    <t xml:space="preserve">Обеспечение населения спортивными сооружениями, исходя из нормативной потребности </t>
  </si>
  <si>
    <t>Основное мероприятие "Развитие потребности в занятиях физической культурой и массовым спортом"</t>
  </si>
  <si>
    <t>10 9 02 2Ц320</t>
  </si>
  <si>
    <t xml:space="preserve">Расходы бюджета Соликамского городского округа за 2018 год по разделам и подразделам классификации расходов бюджетов </t>
  </si>
  <si>
    <t>Источники финансирования дефицита бюджета Соликамского городского округа за 2018 год по кодам классификации источников финансирования дефицитов бюджетов</t>
  </si>
  <si>
    <t xml:space="preserve">Доходы бюджета Соликамского городского округа за 2018  год  по кодам классификации доходов бюджетов </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</si>
  <si>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</si>
  <si>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</si>
  <si>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</si>
  <si>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Федеральная антимонопольная служба</t>
  </si>
  <si>
    <t>1 16 33040 04 6000 140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</si>
  <si>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</si>
  <si>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</si>
  <si>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</si>
  <si>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</si>
  <si>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(перерасчёты,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</si>
  <si>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</si>
  <si>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</si>
  <si>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1 16 25073 04 6000 140</t>
  </si>
  <si>
    <t>Денежные взыскания ( штрафы) за нарушение лесного законодательства на лесных участках,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</si>
  <si>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Орган местного мамоуправления Соликамского городского округа Соликамская городская Дума</t>
  </si>
  <si>
    <t>2 02 25560 04 0000 151</t>
  </si>
  <si>
    <t>Субсидии бюджетам городских округов на поддержку обустройства мест массового отдыха населения (городских парков)</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</si>
  <si>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</si>
  <si>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</si>
  <si>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</si>
  <si>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</si>
  <si>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</si>
  <si>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2 19 25555 04 0000 151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</si>
  <si>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</si>
  <si>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2 19 35930 04 0000 151</t>
  </si>
  <si>
    <t>Возврат остатков субвенций на государственную регистрацию актов гражданского состояния из бюджетов городских округов</t>
  </si>
  <si>
    <t>2 02 25497 04 0000 151</t>
  </si>
  <si>
    <t>Субсидии бюджетам городских округов на реализацию мероприятий по обеспечению жильем молодых семей</t>
  </si>
  <si>
    <t>2 02 15002 04 0000 151</t>
  </si>
  <si>
    <t>Дотации бюджетам городских округов на поддержку мер по обеспечению сбалансированности бюджетов</t>
  </si>
  <si>
    <t>Министерство природных ресурсов, лесного хозяйства и экологии   Пермского края</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</si>
  <si>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</si>
  <si>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</si>
  <si>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Государственная инспекция по охране объектов культурного наследия Пермского края</t>
  </si>
  <si>
    <t>Министерство образования и науки Пермского края</t>
  </si>
  <si>
    <t>Доходы  бюджета Соликамского городского округа за 2018 год</t>
  </si>
  <si>
    <t>Стимулирование педагогических работников по результатам обучения школьников (обязательства прошлых лет)</t>
  </si>
  <si>
    <t>Выплата материального стимулирования народным дружинникам за участие в охране общественного порядка (долевое участие местного бюджета)</t>
  </si>
  <si>
    <t>Выплата материального стимулирования народным дружинникам за участие в охране общественного порядка (долевое участие краевого бюджета)</t>
  </si>
  <si>
    <t>Капитальный ремонт, ремонт автомобильных дорог и искусственных сооружений на них (долевое участие краевого бюджета)</t>
  </si>
  <si>
    <t>Обустройство мест массового отдыха населения (городских парков) (долевое участие местного бюджета)</t>
  </si>
  <si>
    <t xml:space="preserve">Софинансирование расходных обязательств по исполнению полномочий органов местного самоуправления по вопросам местного значения "Строительство крытого ледового катка с искусственным покрытием" в г.Соликамске Пермского края  (доля местного бюджета в ПРП) </t>
  </si>
  <si>
    <t xml:space="preserve">Софинансирование расходных обязательств по исполнению полномочий органов местного самоуправления по вопросам местного значения "Строительство крытого ледового катка с искусственным покрытием" в г.Соликамске Пермского края  (доля краевого бюджета в ПРП) </t>
  </si>
  <si>
    <t>Обеспечение работников учреждений бюджетной сферы Пермского края путевками на санаторно-курортное лечение и оздоровление (долевое участие местного бюджета)</t>
  </si>
  <si>
    <t>Обеспечение работников учреждений бюджетной сферы Пермского края путевками на санаторно-курортное лечение и оздоровление (долевое участие краевого бюджета)</t>
  </si>
  <si>
    <t>09 1 01 L0200</t>
  </si>
  <si>
    <t>Обеспечение жильем молодых семей (дополнительные социальные выплаты)</t>
  </si>
  <si>
    <t>Приведение в нормативное состояние муниципальных спортивных объектов</t>
  </si>
  <si>
    <t>от          2019 г. №</t>
  </si>
  <si>
    <t>Приложение 3</t>
  </si>
  <si>
    <t>от           2019 г. №</t>
  </si>
  <si>
    <r>
      <t>Приложение</t>
    </r>
    <r>
      <rPr>
        <sz val="12"/>
        <color indexed="10"/>
        <rFont val="Times New Roman"/>
        <family val="1"/>
      </rPr>
      <t xml:space="preserve">  </t>
    </r>
    <r>
      <rPr>
        <sz val="12"/>
        <rFont val="Times New Roman"/>
        <family val="1"/>
      </rPr>
      <t>5</t>
    </r>
  </si>
  <si>
    <t>от        2019 г. №</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</si>
</sst>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_);_(* \(#,##0.000\);_(* &quot;-&quot;??_);_(@_)"/>
    <numFmt numFmtId="173" formatCode="_(* #,##0.00000_);_(* \(#,##0.00000\);_(* &quot;-&quot;??_);_(@_)"/>
    <numFmt numFmtId="174" formatCode="_(* #,##0.0_);_(* \(#,##0.0\);_(* &quot;-&quot;??_);_(@_)"/>
    <numFmt numFmtId="175" formatCode="_(* #,##0.00_);_(* \(#,##0.00\);_(* &quot;-&quot;??_);_(@_)"/>
    <numFmt numFmtId="176" formatCode="_(* #,##0.0000_);_(* \(#,##0.0000\);_(* &quot;-&quot;??_);_(@_)"/>
    <numFmt numFmtId="177" formatCode="_-* #,##0.00000_р_._-;\-* #,##0.00000_р_._-;_-* &quot;-&quot;?_р_._-;_-@_-"/>
    <numFmt numFmtId="178" formatCode="_-* #,##0.00000_р_._-;\-* #,##0.00000_р_._-;_-* &quot;-&quot;?????_р_._-;_-@_-"/>
    <numFmt numFmtId="179" formatCode="_-* #,##0.0_р_._-;\-* #,##0.0_р_._-;_-* &quot;-&quot;?_р_._-;_-@_-"/>
    <numFmt numFmtId="180" formatCode="#,##0.0"/>
    <numFmt numFmtId="181" formatCode="0.0%"/>
    <numFmt numFmtId="182" formatCode="0.0"/>
    <numFmt numFmtId="183" formatCode="#,##0.000"/>
    <numFmt numFmtId="184" formatCode="0.000"/>
    <numFmt numFmtId="185" formatCode="#,##0.0000"/>
    <numFmt numFmtId="186" formatCode="_-* #,##0.0_р_._-;\-* #,##0.0_р_._-;_-* &quot;-&quot;??_р_.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0.00000"/>
    <numFmt numFmtId="195" formatCode="#,##0.000000"/>
    <numFmt numFmtId="196" formatCode="_(* #,##0_);_(* \(#,##0\);_(* &quot;-&quot;??_);_(@_)"/>
    <numFmt numFmtId="197" formatCode="0.00000"/>
    <numFmt numFmtId="198" formatCode="0.0000"/>
    <numFmt numFmtId="199" formatCode="_-* #,##0.00000_р_._-;\-* #,##0.00000_р_._-;_-* &quot;-&quot;??_р_._-;_-@_-"/>
    <numFmt numFmtId="200" formatCode="_-* #,##0.000_р_._-;\-* #,##0.000_р_._-;_-* &quot;-&quot;??_р_._-;_-@_-"/>
    <numFmt numFmtId="201" formatCode="_-* #,##0.0000_р_._-;\-* #,##0.0000_р_._-;_-* &quot;-&quot;??_р_._-;_-@_-"/>
    <numFmt numFmtId="202" formatCode="0.000000000"/>
    <numFmt numFmtId="203" formatCode="_-* #,##0_р_._-;\-* #,##0_р_._-;_-* &quot;-&quot;??_р_._-;_-@_-"/>
    <numFmt numFmtId="204" formatCode="_(* #,##0.000000_);_(* \(#,##0.000000\);_(* &quot;-&quot;??_);_(@_)"/>
    <numFmt numFmtId="205" formatCode="_-* #,##0.00_р_._-;\-* #,##0.00_р_._-;_-* &quot;-&quot;?_р_._-;_-@_-"/>
    <numFmt numFmtId="206" formatCode="_-* #,##0.000_р_._-;\-* #,##0.000_р_._-;_-* &quot;-&quot;?_р_._-;_-@_-"/>
    <numFmt numFmtId="207" formatCode="_-* #,##0.0000_р_._-;\-* #,##0.0000_р_._-;_-* &quot;-&quot;?_р_._-;_-@_-"/>
    <numFmt numFmtId="208" formatCode="_-* #,##0.000_р_._-;\-* #,##0.000_р_._-;_-* &quot;-&quot;???_р_._-;_-@_-"/>
    <numFmt numFmtId="209" formatCode="0.000000"/>
    <numFmt numFmtId="210" formatCode="_-* #,##0.000000_р_._-;\-* #,##0.000000_р_._-;_-* &quot;-&quot;??_р_._-;_-@_-"/>
    <numFmt numFmtId="211" formatCode="_-* #,##0.0000_р_._-;\-* #,##0.0000_р_._-;_-* &quot;-&quot;????_р_._-;_-@_-"/>
    <numFmt numFmtId="212" formatCode="_-* #,##0.000000_р_._-;\-* #,##0.000000_р_._-;_-* &quot;-&quot;?_р_._-;_-@_-"/>
    <numFmt numFmtId="213" formatCode="_(* #,##0.0000000_);_(* \(#,##0.0000000\);_(* &quot;-&quot;??_);_(@_)"/>
    <numFmt numFmtId="214" formatCode="?"/>
    <numFmt numFmtId="215" formatCode="#,##0.000_ ;\-#,##0.000\ "/>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0.0_ ;\-#,##0.0\ "/>
    <numFmt numFmtId="221" formatCode="#,##0.0000000"/>
    <numFmt numFmtId="222" formatCode="#,##0.00000000"/>
    <numFmt numFmtId="223" formatCode="[$-FC19]d\ mmmm\ yyyy\ &quot;г.&quot;"/>
  </numFmts>
  <fonts count="73">
    <font>
      <sz val="10"/>
      <name val="Arial Cyr"/>
      <family val="0"/>
    </font>
    <font>
      <u val="single"/>
      <sz val="10"/>
      <color indexed="12"/>
      <name val="Arial Cyr"/>
      <family val="0"/>
    </font>
    <font>
      <u val="single"/>
      <sz val="10"/>
      <color indexed="36"/>
      <name val="Arial Cyr"/>
      <family val="0"/>
    </font>
    <font>
      <sz val="10"/>
      <name val="Helv"/>
      <family val="0"/>
    </font>
    <font>
      <b/>
      <sz val="14"/>
      <name val="Times New Roman"/>
      <family val="1"/>
    </font>
    <font>
      <sz val="8"/>
      <name val="Arial Cyr"/>
      <family val="0"/>
    </font>
    <font>
      <sz val="8"/>
      <name val="Arial"/>
      <family val="2"/>
    </font>
    <font>
      <sz val="10"/>
      <name val="Arial"/>
      <family val="2"/>
    </font>
    <font>
      <sz val="11"/>
      <color indexed="8"/>
      <name val="Calibri"/>
      <family val="2"/>
    </font>
    <font>
      <sz val="14"/>
      <name val="Times New Roman"/>
      <family val="1"/>
    </font>
    <font>
      <sz val="11"/>
      <name val="Times New Roman"/>
      <family val="1"/>
    </font>
    <font>
      <sz val="12"/>
      <name val="Times New Roman"/>
      <family val="1"/>
    </font>
    <font>
      <b/>
      <sz val="12"/>
      <name val="Times New Roman"/>
      <family val="1"/>
    </font>
    <font>
      <sz val="12"/>
      <color indexed="8"/>
      <name val="Times New Roman"/>
      <family val="1"/>
    </font>
    <font>
      <b/>
      <sz val="12"/>
      <color indexed="8"/>
      <name val="Times New Roman"/>
      <family val="1"/>
    </font>
    <font>
      <b/>
      <sz val="16"/>
      <color indexed="8"/>
      <name val="Times New Roman"/>
      <family val="1"/>
    </font>
    <font>
      <sz val="14"/>
      <color indexed="10"/>
      <name val="Times New Roman"/>
      <family val="1"/>
    </font>
    <font>
      <sz val="14"/>
      <color indexed="12"/>
      <name val="Times New Roman"/>
      <family val="1"/>
    </font>
    <font>
      <b/>
      <i/>
      <sz val="14"/>
      <name val="Times New Roman"/>
      <family val="1"/>
    </font>
    <font>
      <sz val="14"/>
      <color indexed="60"/>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2"/>
      <name val="Times New Roman"/>
      <family val="1"/>
    </font>
    <font>
      <b/>
      <sz val="14"/>
      <color indexed="8"/>
      <name val="Times New Roman"/>
      <family val="1"/>
    </font>
    <font>
      <sz val="14"/>
      <color indexed="8"/>
      <name val="Times New Roman"/>
      <family val="1"/>
    </font>
    <font>
      <sz val="14"/>
      <color indexed="48"/>
      <name val="Times New Roman"/>
      <family val="1"/>
    </font>
    <font>
      <b/>
      <sz val="14"/>
      <color indexed="48"/>
      <name val="Times New Roman"/>
      <family val="1"/>
    </font>
    <font>
      <b/>
      <sz val="14"/>
      <color indexed="10"/>
      <name val="Times New Roman"/>
      <family val="1"/>
    </font>
    <font>
      <b/>
      <sz val="11"/>
      <color indexed="10"/>
      <name val="Times New Roman"/>
      <family val="1"/>
    </font>
    <font>
      <b/>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b/>
      <sz val="14"/>
      <color rgb="FF0000FF"/>
      <name val="Times New Roman"/>
      <family val="1"/>
    </font>
    <font>
      <b/>
      <sz val="14"/>
      <color theme="1"/>
      <name val="Times New Roman"/>
      <family val="1"/>
    </font>
    <font>
      <sz val="14"/>
      <color theme="1"/>
      <name val="Times New Roman"/>
      <family val="1"/>
    </font>
    <font>
      <sz val="14"/>
      <color rgb="FF3333FF"/>
      <name val="Times New Roman"/>
      <family val="1"/>
    </font>
    <font>
      <b/>
      <sz val="14"/>
      <color rgb="FF3333FF"/>
      <name val="Times New Roman"/>
      <family val="1"/>
    </font>
    <font>
      <b/>
      <sz val="14"/>
      <color rgb="FFFF0000"/>
      <name val="Times New Roman"/>
      <family val="1"/>
    </font>
    <font>
      <b/>
      <sz val="11"/>
      <color rgb="FFFF0000"/>
      <name val="Times New Roman"/>
      <family val="1"/>
    </font>
    <font>
      <sz val="14"/>
      <color rgb="FFFF0000"/>
      <name val="Times New Roman"/>
      <family val="1"/>
    </font>
    <font>
      <sz val="14"/>
      <color rgb="FF0000CC"/>
      <name val="Times New Roman"/>
      <family val="1"/>
    </font>
    <font>
      <b/>
      <sz val="12"/>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99"/>
        <bgColor indexed="64"/>
      </patternFill>
    </fill>
  </fills>
  <borders count="20">
    <border>
      <left/>
      <right/>
      <top/>
      <bottom/>
      <diagonal/>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6" fillId="0" borderId="1" applyNumberFormat="0" applyProtection="0">
      <alignment horizontal="right" vertical="center"/>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2" applyNumberFormat="0" applyAlignment="0" applyProtection="0"/>
    <xf numFmtId="0" fontId="48" fillId="27" borderId="3" applyNumberFormat="0" applyAlignment="0" applyProtection="0"/>
    <xf numFmtId="0" fontId="49" fillId="27"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28" borderId="8"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8" fillId="0" borderId="0">
      <alignment/>
      <protection/>
    </xf>
    <xf numFmtId="0" fontId="7" fillId="0" borderId="0">
      <alignment/>
      <protection/>
    </xf>
    <xf numFmtId="0" fontId="7" fillId="0" borderId="0">
      <alignment/>
      <protection/>
    </xf>
    <xf numFmtId="0" fontId="45" fillId="0" borderId="0">
      <alignment/>
      <protection/>
    </xf>
    <xf numFmtId="0" fontId="6" fillId="30" borderId="0">
      <alignment/>
      <protection/>
    </xf>
    <xf numFmtId="0" fontId="6" fillId="3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59" fillId="0" borderId="10" applyNumberFormat="0" applyFill="0" applyAlignment="0" applyProtection="0"/>
    <xf numFmtId="0" fontId="3" fillId="0" borderId="0">
      <alignment/>
      <protection/>
    </xf>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1" fillId="33" borderId="0" applyNumberFormat="0" applyBorder="0" applyAlignment="0" applyProtection="0"/>
  </cellStyleXfs>
  <cellXfs count="279">
    <xf numFmtId="0" fontId="0" fillId="0" borderId="0" xfId="0" applyAlignment="1">
      <alignment/>
    </xf>
    <xf numFmtId="49" fontId="4" fillId="0" borderId="11" xfId="54" applyNumberFormat="1" applyFont="1" applyFill="1" applyBorder="1" applyAlignment="1">
      <alignment horizontal="center" vertical="center"/>
      <protection/>
    </xf>
    <xf numFmtId="0" fontId="4" fillId="0" borderId="11" xfId="0" applyFont="1" applyFill="1" applyBorder="1" applyAlignment="1">
      <alignment horizontal="center" vertical="center"/>
    </xf>
    <xf numFmtId="0" fontId="4" fillId="0" borderId="11" xfId="54" applyNumberFormat="1" applyFont="1" applyFill="1" applyBorder="1" applyAlignment="1">
      <alignment horizontal="center" vertical="center" wrapText="1"/>
      <protection/>
    </xf>
    <xf numFmtId="0" fontId="9" fillId="0" borderId="0" xfId="0" applyFont="1" applyFill="1" applyAlignment="1">
      <alignment vertical="center"/>
    </xf>
    <xf numFmtId="0" fontId="9"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11" xfId="0" applyFont="1" applyFill="1" applyBorder="1" applyAlignment="1">
      <alignment vertical="center"/>
    </xf>
    <xf numFmtId="0" fontId="4" fillId="0" borderId="11" xfId="0" applyFont="1" applyFill="1" applyBorder="1" applyAlignment="1">
      <alignment horizontal="left" vertical="center" wrapText="1"/>
    </xf>
    <xf numFmtId="180" fontId="4" fillId="0" borderId="11" xfId="0" applyNumberFormat="1" applyFont="1" applyFill="1" applyBorder="1" applyAlignment="1">
      <alignment horizontal="right" vertical="center"/>
    </xf>
    <xf numFmtId="0" fontId="9" fillId="0" borderId="11" xfId="0" applyFont="1" applyFill="1" applyBorder="1" applyAlignment="1">
      <alignment vertic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vertical="center"/>
    </xf>
    <xf numFmtId="0" fontId="9" fillId="0" borderId="11" xfId="0" applyNumberFormat="1" applyFont="1" applyFill="1" applyBorder="1" applyAlignment="1">
      <alignment horizontal="left" vertical="center" wrapText="1"/>
    </xf>
    <xf numFmtId="49" fontId="9" fillId="0" borderId="11" xfId="60" applyNumberFormat="1" applyFont="1" applyFill="1" applyBorder="1" applyAlignment="1">
      <alignment horizontal="center" vertical="center" wrapText="1"/>
      <protection/>
    </xf>
    <xf numFmtId="49" fontId="4" fillId="0" borderId="11" xfId="60" applyNumberFormat="1" applyFont="1" applyFill="1" applyBorder="1" applyAlignment="1">
      <alignment horizontal="center" vertical="center"/>
      <protection/>
    </xf>
    <xf numFmtId="49" fontId="4" fillId="0" borderId="11" xfId="60" applyNumberFormat="1" applyFont="1" applyFill="1" applyBorder="1" applyAlignment="1">
      <alignment horizontal="center" vertical="center" wrapText="1"/>
      <protection/>
    </xf>
    <xf numFmtId="0" fontId="4" fillId="0" borderId="11" xfId="60" applyFont="1" applyFill="1" applyBorder="1" applyAlignment="1">
      <alignment vertical="center" wrapText="1"/>
      <protection/>
    </xf>
    <xf numFmtId="0" fontId="4" fillId="0" borderId="11" xfId="60" applyFont="1" applyFill="1" applyBorder="1" applyAlignment="1">
      <alignment horizontal="left" vertical="center" wrapText="1"/>
      <protection/>
    </xf>
    <xf numFmtId="49" fontId="4" fillId="0" borderId="12" xfId="54"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181" fontId="4" fillId="0" borderId="11" xfId="67" applyNumberFormat="1" applyFont="1" applyFill="1" applyBorder="1" applyAlignment="1">
      <alignment vertical="center"/>
    </xf>
    <xf numFmtId="180" fontId="4" fillId="34" borderId="11" xfId="0" applyNumberFormat="1" applyFont="1" applyFill="1" applyBorder="1" applyAlignment="1">
      <alignment horizontal="right" vertical="center"/>
    </xf>
    <xf numFmtId="0" fontId="11" fillId="0" borderId="0" xfId="60" applyFont="1" applyFill="1" applyAlignment="1">
      <alignment vertical="center"/>
      <protection/>
    </xf>
    <xf numFmtId="49" fontId="11" fillId="0" borderId="0" xfId="60" applyNumberFormat="1" applyFont="1" applyFill="1" applyAlignment="1">
      <alignment horizontal="center" vertical="center"/>
      <protection/>
    </xf>
    <xf numFmtId="0" fontId="11" fillId="0" borderId="0" xfId="60" applyFont="1" applyFill="1" applyAlignment="1">
      <alignment horizontal="left" vertical="center"/>
      <protection/>
    </xf>
    <xf numFmtId="0" fontId="11"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left"/>
    </xf>
    <xf numFmtId="0" fontId="11" fillId="0" borderId="0" xfId="60" applyFont="1" applyFill="1" applyAlignment="1">
      <alignment vertical="center" wrapText="1"/>
      <protection/>
    </xf>
    <xf numFmtId="0" fontId="4" fillId="0" borderId="0" xfId="60" applyFont="1" applyFill="1" applyAlignment="1">
      <alignment vertical="center"/>
      <protection/>
    </xf>
    <xf numFmtId="0" fontId="4" fillId="0" borderId="11" xfId="60" applyFont="1" applyFill="1" applyBorder="1" applyAlignment="1">
      <alignment vertical="center"/>
      <protection/>
    </xf>
    <xf numFmtId="0" fontId="12" fillId="0" borderId="0" xfId="60" applyFont="1" applyFill="1" applyAlignment="1">
      <alignment vertical="center" wrapText="1"/>
      <protection/>
    </xf>
    <xf numFmtId="0" fontId="11" fillId="0" borderId="0" xfId="0" applyFont="1" applyAlignment="1">
      <alignment vertical="center"/>
    </xf>
    <xf numFmtId="0" fontId="12" fillId="0" borderId="0" xfId="0" applyFont="1" applyAlignment="1">
      <alignment horizontal="left" vertical="center"/>
    </xf>
    <xf numFmtId="0" fontId="11" fillId="0" borderId="0" xfId="0" applyFont="1" applyBorder="1" applyAlignment="1">
      <alignment vertical="center" wrapText="1"/>
    </xf>
    <xf numFmtId="0" fontId="11" fillId="0" borderId="0" xfId="0" applyFont="1" applyAlignment="1">
      <alignment horizontal="right" vertical="center"/>
    </xf>
    <xf numFmtId="0" fontId="11"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Border="1" applyAlignment="1">
      <alignment horizontal="left" vertical="center"/>
    </xf>
    <xf numFmtId="0" fontId="11" fillId="0" borderId="0" xfId="0" applyFont="1" applyAlignment="1">
      <alignment horizontal="left" vertical="center"/>
    </xf>
    <xf numFmtId="0" fontId="11" fillId="0" borderId="11" xfId="0" applyFont="1" applyFill="1" applyBorder="1" applyAlignment="1">
      <alignment horizontal="left" vertical="center" wrapText="1"/>
    </xf>
    <xf numFmtId="0" fontId="11" fillId="35" borderId="13" xfId="0" applyFont="1" applyFill="1" applyBorder="1" applyAlignment="1">
      <alignment horizontal="center" vertical="center" wrapText="1"/>
    </xf>
    <xf numFmtId="0" fontId="11" fillId="35" borderId="11"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14" xfId="61" applyFont="1" applyFill="1" applyBorder="1" applyAlignment="1">
      <alignment horizontal="center" vertical="center"/>
      <protection/>
    </xf>
    <xf numFmtId="0" fontId="11" fillId="0" borderId="12" xfId="61" applyFont="1" applyFill="1" applyBorder="1" applyAlignment="1">
      <alignment horizontal="left" vertical="center" wrapText="1"/>
      <protection/>
    </xf>
    <xf numFmtId="0" fontId="12" fillId="0" borderId="11" xfId="61" applyFont="1" applyFill="1" applyBorder="1" applyAlignment="1">
      <alignment horizontal="left" vertical="center" wrapText="1"/>
      <protection/>
    </xf>
    <xf numFmtId="0" fontId="12" fillId="0" borderId="0" xfId="0" applyFont="1" applyAlignment="1">
      <alignment vertical="center"/>
    </xf>
    <xf numFmtId="4" fontId="9" fillId="0" borderId="0" xfId="0" applyNumberFormat="1" applyFont="1" applyFill="1" applyAlignment="1">
      <alignment vertical="center"/>
    </xf>
    <xf numFmtId="4" fontId="4" fillId="0" borderId="11" xfId="54" applyNumberFormat="1" applyFont="1" applyFill="1" applyBorder="1" applyAlignment="1">
      <alignment horizontal="center" vertical="center"/>
      <protection/>
    </xf>
    <xf numFmtId="0" fontId="11" fillId="0" borderId="13"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Fill="1" applyBorder="1" applyAlignment="1">
      <alignment horizontal="center" vertical="center"/>
    </xf>
    <xf numFmtId="180" fontId="11" fillId="0" borderId="11" xfId="0" applyNumberFormat="1" applyFont="1" applyFill="1" applyBorder="1" applyAlignment="1">
      <alignment horizontal="center" vertical="center"/>
    </xf>
    <xf numFmtId="180" fontId="12" fillId="0" borderId="11" xfId="0" applyNumberFormat="1" applyFont="1" applyFill="1" applyBorder="1" applyAlignment="1">
      <alignment horizontal="center" vertical="center"/>
    </xf>
    <xf numFmtId="0" fontId="11" fillId="0" borderId="0" xfId="0" applyFont="1" applyFill="1" applyAlignment="1">
      <alignment/>
    </xf>
    <xf numFmtId="0" fontId="11" fillId="0" borderId="0" xfId="0" applyFont="1" applyFill="1" applyAlignment="1">
      <alignment horizontal="center"/>
    </xf>
    <xf numFmtId="180" fontId="11" fillId="0" borderId="0" xfId="0" applyNumberFormat="1" applyFont="1" applyFill="1" applyAlignment="1">
      <alignment horizontal="center"/>
    </xf>
    <xf numFmtId="0" fontId="12" fillId="0" borderId="15" xfId="0" applyFont="1" applyFill="1" applyBorder="1" applyAlignment="1">
      <alignment horizontal="center" wrapText="1"/>
    </xf>
    <xf numFmtId="180" fontId="12" fillId="0" borderId="11" xfId="0" applyNumberFormat="1" applyFont="1" applyFill="1" applyBorder="1" applyAlignment="1">
      <alignment horizontal="center" wrapText="1"/>
    </xf>
    <xf numFmtId="0" fontId="12" fillId="0" borderId="11" xfId="0" applyFont="1" applyFill="1" applyBorder="1" applyAlignment="1">
      <alignment horizontal="center" wrapText="1"/>
    </xf>
    <xf numFmtId="0" fontId="12" fillId="0" borderId="15" xfId="0" applyFont="1" applyFill="1" applyBorder="1" applyAlignment="1">
      <alignment horizontal="left" wrapText="1"/>
    </xf>
    <xf numFmtId="180" fontId="12" fillId="0" borderId="11" xfId="0" applyNumberFormat="1" applyFont="1" applyFill="1" applyBorder="1" applyAlignment="1">
      <alignment horizontal="center"/>
    </xf>
    <xf numFmtId="181" fontId="12" fillId="0" borderId="11" xfId="0" applyNumberFormat="1" applyFont="1" applyFill="1" applyBorder="1" applyAlignment="1">
      <alignment horizontal="center" wrapText="1"/>
    </xf>
    <xf numFmtId="0" fontId="12" fillId="0" borderId="0" xfId="0" applyFont="1" applyFill="1" applyAlignment="1">
      <alignment/>
    </xf>
    <xf numFmtId="0" fontId="13" fillId="0" borderId="11" xfId="0" applyFont="1" applyFill="1" applyBorder="1" applyAlignment="1">
      <alignment horizontal="center"/>
    </xf>
    <xf numFmtId="0" fontId="11" fillId="0" borderId="11" xfId="0" applyFont="1" applyFill="1" applyBorder="1" applyAlignment="1">
      <alignment wrapText="1"/>
    </xf>
    <xf numFmtId="180" fontId="11" fillId="0" borderId="11" xfId="0" applyNumberFormat="1" applyFont="1" applyFill="1" applyBorder="1" applyAlignment="1">
      <alignment horizontal="center" wrapText="1"/>
    </xf>
    <xf numFmtId="180" fontId="11" fillId="0" borderId="11" xfId="0" applyNumberFormat="1" applyFont="1" applyFill="1" applyBorder="1" applyAlignment="1">
      <alignment horizontal="center"/>
    </xf>
    <xf numFmtId="181" fontId="11" fillId="0" borderId="11" xfId="0" applyNumberFormat="1" applyFont="1" applyFill="1" applyBorder="1" applyAlignment="1">
      <alignment horizontal="center" wrapText="1"/>
    </xf>
    <xf numFmtId="0" fontId="11" fillId="0" borderId="11" xfId="0" applyNumberFormat="1" applyFont="1" applyFill="1" applyBorder="1" applyAlignment="1">
      <alignment wrapText="1"/>
    </xf>
    <xf numFmtId="0" fontId="11" fillId="0" borderId="11" xfId="0" applyNumberFormat="1" applyFont="1" applyFill="1" applyBorder="1" applyAlignment="1">
      <alignment vertical="center" wrapText="1"/>
    </xf>
    <xf numFmtId="0" fontId="14" fillId="0" borderId="11" xfId="0" applyFont="1" applyFill="1" applyBorder="1" applyAlignment="1">
      <alignment horizontal="center"/>
    </xf>
    <xf numFmtId="0" fontId="12" fillId="0" borderId="11" xfId="0" applyNumberFormat="1" applyFont="1" applyFill="1" applyBorder="1" applyAlignment="1">
      <alignment wrapText="1"/>
    </xf>
    <xf numFmtId="180" fontId="12" fillId="0" borderId="13" xfId="0" applyNumberFormat="1" applyFont="1" applyFill="1" applyBorder="1" applyAlignment="1">
      <alignment horizontal="center" wrapText="1"/>
    </xf>
    <xf numFmtId="180" fontId="14" fillId="0" borderId="15" xfId="0" applyNumberFormat="1" applyFont="1" applyFill="1" applyBorder="1" applyAlignment="1">
      <alignment horizontal="center"/>
    </xf>
    <xf numFmtId="180" fontId="11" fillId="0" borderId="13" xfId="0" applyNumberFormat="1" applyFont="1" applyFill="1" applyBorder="1" applyAlignment="1">
      <alignment horizontal="center" wrapText="1"/>
    </xf>
    <xf numFmtId="180" fontId="13" fillId="0" borderId="15" xfId="0" applyNumberFormat="1" applyFont="1" applyFill="1" applyBorder="1" applyAlignment="1">
      <alignment horizontal="center"/>
    </xf>
    <xf numFmtId="180" fontId="11" fillId="0" borderId="15" xfId="0" applyNumberFormat="1" applyFont="1" applyFill="1" applyBorder="1" applyAlignment="1">
      <alignment horizontal="center"/>
    </xf>
    <xf numFmtId="0" fontId="12" fillId="0" borderId="15" xfId="0" applyFont="1" applyFill="1" applyBorder="1" applyAlignment="1">
      <alignment wrapText="1"/>
    </xf>
    <xf numFmtId="180" fontId="12" fillId="0" borderId="15" xfId="0" applyNumberFormat="1" applyFont="1" applyFill="1" applyBorder="1" applyAlignment="1">
      <alignment horizontal="center"/>
    </xf>
    <xf numFmtId="0" fontId="11" fillId="0" borderId="15" xfId="0" applyFont="1" applyFill="1" applyBorder="1" applyAlignment="1">
      <alignment wrapText="1"/>
    </xf>
    <xf numFmtId="0" fontId="12" fillId="0" borderId="11" xfId="0" applyFont="1" applyFill="1" applyBorder="1" applyAlignment="1">
      <alignment horizontal="center"/>
    </xf>
    <xf numFmtId="0" fontId="12" fillId="0" borderId="11" xfId="0" applyFont="1" applyFill="1" applyBorder="1" applyAlignment="1">
      <alignment wrapText="1"/>
    </xf>
    <xf numFmtId="180" fontId="14" fillId="0" borderId="11" xfId="0" applyNumberFormat="1" applyFont="1" applyFill="1" applyBorder="1" applyAlignment="1">
      <alignment horizontal="center"/>
    </xf>
    <xf numFmtId="180" fontId="11" fillId="0" borderId="16" xfId="0" applyNumberFormat="1" applyFont="1" applyFill="1" applyBorder="1" applyAlignment="1">
      <alignment horizontal="center" wrapText="1"/>
    </xf>
    <xf numFmtId="0" fontId="11" fillId="0" borderId="11" xfId="0" applyFont="1" applyFill="1" applyBorder="1" applyAlignment="1">
      <alignment horizontal="left" wrapText="1"/>
    </xf>
    <xf numFmtId="0" fontId="12" fillId="0" borderId="17" xfId="0" applyFont="1" applyFill="1" applyBorder="1" applyAlignment="1">
      <alignment horizontal="center" wrapText="1"/>
    </xf>
    <xf numFmtId="180" fontId="11" fillId="0" borderId="15" xfId="0" applyNumberFormat="1" applyFont="1" applyFill="1" applyBorder="1" applyAlignment="1">
      <alignment horizontal="center" wrapText="1"/>
    </xf>
    <xf numFmtId="0" fontId="11" fillId="0" borderId="11" xfId="0" applyFont="1" applyFill="1" applyBorder="1" applyAlignment="1">
      <alignment horizontal="center"/>
    </xf>
    <xf numFmtId="0" fontId="11" fillId="0" borderId="15" xfId="0" applyFont="1" applyFill="1" applyBorder="1" applyAlignment="1">
      <alignment horizontal="left" wrapText="1"/>
    </xf>
    <xf numFmtId="0" fontId="12" fillId="0" borderId="0" xfId="0" applyFont="1" applyFill="1" applyAlignment="1">
      <alignment horizontal="center"/>
    </xf>
    <xf numFmtId="0" fontId="13" fillId="0" borderId="0" xfId="0" applyFont="1" applyFill="1" applyAlignment="1">
      <alignment/>
    </xf>
    <xf numFmtId="0" fontId="14" fillId="0" borderId="0" xfId="0" applyFont="1" applyFill="1" applyAlignment="1">
      <alignment/>
    </xf>
    <xf numFmtId="0" fontId="14"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14" fillId="0" borderId="11" xfId="0" applyNumberFormat="1" applyFont="1" applyFill="1" applyBorder="1" applyAlignment="1">
      <alignment horizontal="center"/>
    </xf>
    <xf numFmtId="49" fontId="13" fillId="0" borderId="11" xfId="0" applyNumberFormat="1" applyFont="1" applyFill="1" applyBorder="1" applyAlignment="1">
      <alignment horizontal="center"/>
    </xf>
    <xf numFmtId="180" fontId="11" fillId="0" borderId="0" xfId="0" applyNumberFormat="1" applyFont="1" applyFill="1" applyAlignment="1">
      <alignment/>
    </xf>
    <xf numFmtId="0" fontId="13" fillId="0" borderId="12" xfId="0" applyFont="1" applyFill="1" applyBorder="1" applyAlignment="1">
      <alignment horizontal="center"/>
    </xf>
    <xf numFmtId="0" fontId="13" fillId="0" borderId="11" xfId="0" applyFont="1" applyFill="1" applyBorder="1" applyAlignment="1">
      <alignment/>
    </xf>
    <xf numFmtId="0" fontId="15" fillId="0" borderId="11" xfId="0" applyFont="1" applyFill="1" applyBorder="1" applyAlignment="1">
      <alignment/>
    </xf>
    <xf numFmtId="0" fontId="12" fillId="0" borderId="15" xfId="0" applyFont="1" applyBorder="1" applyAlignment="1">
      <alignment horizontal="center" vertical="center" wrapText="1"/>
    </xf>
    <xf numFmtId="180" fontId="11" fillId="34" borderId="11" xfId="0" applyNumberFormat="1" applyFont="1" applyFill="1" applyBorder="1" applyAlignment="1">
      <alignment horizontal="center" vertical="center" wrapText="1"/>
    </xf>
    <xf numFmtId="180" fontId="11" fillId="34" borderId="11" xfId="0" applyNumberFormat="1" applyFont="1" applyFill="1" applyBorder="1" applyAlignment="1">
      <alignment horizontal="left" vertical="center" wrapText="1"/>
    </xf>
    <xf numFmtId="180" fontId="11" fillId="34" borderId="12" xfId="61" applyNumberFormat="1" applyFont="1" applyFill="1" applyBorder="1" applyAlignment="1">
      <alignment horizontal="left" vertical="center" wrapText="1"/>
      <protection/>
    </xf>
    <xf numFmtId="180" fontId="12" fillId="34" borderId="11" xfId="61" applyNumberFormat="1" applyFont="1" applyFill="1" applyBorder="1" applyAlignment="1">
      <alignment horizontal="center" vertical="center" wrapText="1"/>
      <protection/>
    </xf>
    <xf numFmtId="0" fontId="12" fillId="0" borderId="0" xfId="0" applyFont="1" applyFill="1" applyAlignment="1">
      <alignment horizontal="right" vertical="center"/>
    </xf>
    <xf numFmtId="4" fontId="12" fillId="0" borderId="0" xfId="0" applyNumberFormat="1" applyFont="1" applyFill="1" applyAlignment="1">
      <alignment horizontal="left" vertical="center"/>
    </xf>
    <xf numFmtId="180" fontId="9" fillId="0" borderId="0" xfId="0" applyNumberFormat="1" applyFont="1" applyFill="1" applyAlignment="1">
      <alignment horizontal="left" vertical="center"/>
    </xf>
    <xf numFmtId="180" fontId="9" fillId="0" borderId="11" xfId="0" applyNumberFormat="1" applyFont="1" applyFill="1" applyBorder="1" applyAlignment="1">
      <alignment horizontal="right" wrapText="1"/>
    </xf>
    <xf numFmtId="0" fontId="4" fillId="0" borderId="11" xfId="60" applyNumberFormat="1" applyFont="1" applyFill="1" applyBorder="1" applyAlignment="1">
      <alignment horizontal="center" wrapText="1"/>
      <protection/>
    </xf>
    <xf numFmtId="49" fontId="4" fillId="0" borderId="11" xfId="60" applyNumberFormat="1" applyFont="1" applyFill="1" applyBorder="1" applyAlignment="1">
      <alignment horizontal="center" wrapText="1"/>
      <protection/>
    </xf>
    <xf numFmtId="0" fontId="4" fillId="0" borderId="11" xfId="60" applyFont="1" applyFill="1" applyBorder="1" applyAlignment="1">
      <alignment wrapText="1"/>
      <protection/>
    </xf>
    <xf numFmtId="49" fontId="62" fillId="0" borderId="11" xfId="0" applyNumberFormat="1" applyFont="1" applyFill="1" applyBorder="1" applyAlignment="1">
      <alignment horizontal="center" wrapText="1"/>
    </xf>
    <xf numFmtId="0" fontId="62" fillId="0" borderId="11" xfId="0" applyNumberFormat="1" applyFont="1" applyFill="1" applyBorder="1" applyAlignment="1">
      <alignment wrapText="1"/>
    </xf>
    <xf numFmtId="0" fontId="62" fillId="0" borderId="11" xfId="60" applyFont="1" applyFill="1" applyBorder="1" applyAlignment="1">
      <alignment wrapText="1"/>
      <protection/>
    </xf>
    <xf numFmtId="49" fontId="4" fillId="0" borderId="11" xfId="0" applyNumberFormat="1" applyFont="1" applyFill="1" applyBorder="1" applyAlignment="1">
      <alignment wrapText="1"/>
    </xf>
    <xf numFmtId="49" fontId="9" fillId="0" borderId="11" xfId="0" applyNumberFormat="1" applyFont="1" applyFill="1" applyBorder="1" applyAlignment="1">
      <alignment wrapText="1"/>
    </xf>
    <xf numFmtId="0" fontId="9" fillId="0" borderId="11" xfId="0" applyNumberFormat="1" applyFont="1" applyFill="1" applyBorder="1" applyAlignment="1">
      <alignment wrapText="1"/>
    </xf>
    <xf numFmtId="49" fontId="9" fillId="0" borderId="11" xfId="0" applyNumberFormat="1" applyFont="1" applyFill="1" applyBorder="1" applyAlignment="1">
      <alignment horizontal="center" wrapText="1"/>
    </xf>
    <xf numFmtId="49" fontId="62" fillId="0" borderId="11" xfId="60" applyNumberFormat="1" applyFont="1" applyFill="1" applyBorder="1" applyAlignment="1">
      <alignment horizontal="center" wrapText="1"/>
      <protection/>
    </xf>
    <xf numFmtId="0" fontId="9" fillId="0" borderId="11" xfId="0" applyFont="1" applyFill="1" applyBorder="1" applyAlignment="1">
      <alignment horizontal="center" wrapText="1"/>
    </xf>
    <xf numFmtId="49" fontId="9" fillId="0" borderId="11" xfId="60" applyNumberFormat="1" applyFont="1" applyFill="1" applyBorder="1" applyAlignment="1">
      <alignment horizontal="center" wrapText="1"/>
      <protection/>
    </xf>
    <xf numFmtId="0" fontId="9" fillId="0" borderId="11" xfId="60" applyFont="1" applyFill="1" applyBorder="1" applyAlignment="1">
      <alignment wrapText="1"/>
      <protection/>
    </xf>
    <xf numFmtId="180" fontId="4" fillId="0" borderId="11" xfId="0" applyNumberFormat="1" applyFont="1" applyFill="1" applyBorder="1" applyAlignment="1">
      <alignment horizontal="right" wrapText="1"/>
    </xf>
    <xf numFmtId="180" fontId="62" fillId="0" borderId="11" xfId="0" applyNumberFormat="1" applyFont="1" applyFill="1" applyBorder="1" applyAlignment="1">
      <alignment horizontal="right" wrapText="1"/>
    </xf>
    <xf numFmtId="49" fontId="4" fillId="0" borderId="11" xfId="0" applyNumberFormat="1" applyFont="1" applyFill="1" applyBorder="1" applyAlignment="1">
      <alignment horizontal="center" wrapText="1"/>
    </xf>
    <xf numFmtId="49" fontId="62" fillId="0" borderId="11" xfId="0" applyNumberFormat="1" applyFont="1" applyFill="1" applyBorder="1" applyAlignment="1">
      <alignment wrapText="1"/>
    </xf>
    <xf numFmtId="0" fontId="4" fillId="0" borderId="11" xfId="0" applyNumberFormat="1" applyFont="1" applyFill="1" applyBorder="1" applyAlignment="1">
      <alignment wrapText="1"/>
    </xf>
    <xf numFmtId="0" fontId="4" fillId="0" borderId="11" xfId="0" applyFont="1" applyFill="1" applyBorder="1" applyAlignment="1">
      <alignment wrapText="1"/>
    </xf>
    <xf numFmtId="0" fontId="4" fillId="0" borderId="11" xfId="0" applyFont="1" applyFill="1" applyBorder="1" applyAlignment="1">
      <alignment horizontal="center" wrapText="1"/>
    </xf>
    <xf numFmtId="0" fontId="63" fillId="0" borderId="11" xfId="0" applyFont="1" applyFill="1" applyBorder="1" applyAlignment="1">
      <alignment horizontal="center" wrapText="1"/>
    </xf>
    <xf numFmtId="49" fontId="63" fillId="0" borderId="11" xfId="60" applyNumberFormat="1" applyFont="1" applyFill="1" applyBorder="1" applyAlignment="1">
      <alignment horizontal="center" wrapText="1"/>
      <protection/>
    </xf>
    <xf numFmtId="0" fontId="64" fillId="0" borderId="11" xfId="0" applyFont="1" applyFill="1" applyBorder="1" applyAlignment="1">
      <alignment horizontal="center" wrapText="1"/>
    </xf>
    <xf numFmtId="0" fontId="64" fillId="0" borderId="11" xfId="0" applyNumberFormat="1" applyFont="1" applyFill="1" applyBorder="1" applyAlignment="1">
      <alignment wrapText="1"/>
    </xf>
    <xf numFmtId="180" fontId="64" fillId="0" borderId="11" xfId="0" applyNumberFormat="1" applyFont="1" applyFill="1" applyBorder="1" applyAlignment="1">
      <alignment horizontal="right" wrapText="1"/>
    </xf>
    <xf numFmtId="0" fontId="4" fillId="0" borderId="11" xfId="60" applyFont="1" applyFill="1" applyBorder="1" applyAlignment="1">
      <alignment horizontal="center" wrapText="1"/>
      <protection/>
    </xf>
    <xf numFmtId="49" fontId="62" fillId="0" borderId="11" xfId="60" applyNumberFormat="1" applyFont="1" applyFill="1" applyBorder="1" applyAlignment="1">
      <alignment wrapText="1"/>
      <protection/>
    </xf>
    <xf numFmtId="3" fontId="62" fillId="0" borderId="11" xfId="62" applyNumberFormat="1" applyFont="1" applyFill="1" applyBorder="1" applyAlignment="1">
      <alignment wrapText="1"/>
      <protection/>
    </xf>
    <xf numFmtId="0" fontId="4" fillId="0" borderId="11" xfId="0" applyFont="1" applyFill="1" applyBorder="1" applyAlignment="1">
      <alignment horizontal="left" wrapText="1"/>
    </xf>
    <xf numFmtId="0" fontId="62" fillId="0" borderId="11" xfId="0" applyFont="1" applyFill="1" applyBorder="1" applyAlignment="1">
      <alignment wrapText="1"/>
    </xf>
    <xf numFmtId="180" fontId="9" fillId="0" borderId="11" xfId="0" applyNumberFormat="1" applyFont="1" applyFill="1" applyBorder="1" applyAlignment="1">
      <alignment vertical="center"/>
    </xf>
    <xf numFmtId="180" fontId="12" fillId="0" borderId="0" xfId="0" applyNumberFormat="1" applyFont="1" applyFill="1" applyAlignment="1">
      <alignment/>
    </xf>
    <xf numFmtId="0" fontId="11" fillId="0" borderId="16" xfId="0" applyFont="1" applyFill="1" applyBorder="1" applyAlignment="1">
      <alignment wrapText="1"/>
    </xf>
    <xf numFmtId="0" fontId="12" fillId="0" borderId="11" xfId="0" applyNumberFormat="1" applyFont="1" applyFill="1" applyBorder="1" applyAlignment="1">
      <alignment horizontal="center"/>
    </xf>
    <xf numFmtId="180" fontId="12" fillId="0" borderId="16" xfId="0" applyNumberFormat="1" applyFont="1" applyFill="1" applyBorder="1" applyAlignment="1">
      <alignment horizontal="center" wrapText="1"/>
    </xf>
    <xf numFmtId="0" fontId="11" fillId="0" borderId="17" xfId="0" applyFont="1" applyFill="1" applyBorder="1" applyAlignment="1">
      <alignment horizontal="center" wrapText="1"/>
    </xf>
    <xf numFmtId="0" fontId="11" fillId="0" borderId="18" xfId="0" applyFont="1" applyFill="1" applyBorder="1" applyAlignment="1">
      <alignment wrapText="1"/>
    </xf>
    <xf numFmtId="49" fontId="11" fillId="0" borderId="11"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left" vertical="center" wrapText="1"/>
      <protection/>
    </xf>
    <xf numFmtId="0" fontId="11" fillId="0" borderId="16" xfId="0" applyFont="1" applyFill="1" applyBorder="1" applyAlignment="1">
      <alignment horizontal="center"/>
    </xf>
    <xf numFmtId="0" fontId="12" fillId="0" borderId="12" xfId="0" applyFont="1" applyBorder="1" applyAlignment="1">
      <alignment horizontal="center" vertical="center" wrapText="1"/>
    </xf>
    <xf numFmtId="0" fontId="4" fillId="0" borderId="16" xfId="54" applyNumberFormat="1" applyFont="1" applyFill="1" applyBorder="1" applyAlignment="1">
      <alignment horizontal="center" vertical="center" wrapText="1"/>
      <protection/>
    </xf>
    <xf numFmtId="0" fontId="4" fillId="0" borderId="12" xfId="54" applyNumberFormat="1" applyFont="1" applyFill="1" applyBorder="1" applyAlignment="1">
      <alignment horizontal="center" vertical="center" wrapText="1"/>
      <protection/>
    </xf>
    <xf numFmtId="49" fontId="65" fillId="0" borderId="11" xfId="0" applyNumberFormat="1" applyFont="1" applyFill="1" applyBorder="1" applyAlignment="1">
      <alignment horizontal="center" wrapText="1"/>
    </xf>
    <xf numFmtId="0" fontId="12" fillId="0" borderId="19" xfId="0" applyFont="1" applyBorder="1" applyAlignment="1">
      <alignment horizontal="center" vertical="center" wrapText="1"/>
    </xf>
    <xf numFmtId="49" fontId="4" fillId="36" borderId="11" xfId="0" applyNumberFormat="1" applyFont="1" applyFill="1" applyBorder="1" applyAlignment="1">
      <alignment horizontal="center" wrapText="1"/>
    </xf>
    <xf numFmtId="49" fontId="4" fillId="36" borderId="11" xfId="0" applyNumberFormat="1" applyFont="1" applyFill="1" applyBorder="1" applyAlignment="1">
      <alignment wrapText="1"/>
    </xf>
    <xf numFmtId="180" fontId="4" fillId="36" borderId="11" xfId="0" applyNumberFormat="1" applyFont="1" applyFill="1" applyBorder="1" applyAlignment="1">
      <alignment horizontal="right" wrapText="1"/>
    </xf>
    <xf numFmtId="181" fontId="4" fillId="36" borderId="11" xfId="67" applyNumberFormat="1" applyFont="1" applyFill="1" applyBorder="1" applyAlignment="1">
      <alignment horizontal="right" wrapText="1"/>
    </xf>
    <xf numFmtId="181" fontId="4" fillId="0" borderId="11" xfId="67" applyNumberFormat="1" applyFont="1" applyFill="1" applyBorder="1" applyAlignment="1">
      <alignment horizontal="right" wrapText="1"/>
    </xf>
    <xf numFmtId="181" fontId="9" fillId="0" borderId="11" xfId="67" applyNumberFormat="1" applyFont="1" applyFill="1" applyBorder="1" applyAlignment="1">
      <alignment horizontal="right" wrapText="1"/>
    </xf>
    <xf numFmtId="180" fontId="66" fillId="0" borderId="11" xfId="0" applyNumberFormat="1" applyFont="1" applyFill="1" applyBorder="1" applyAlignment="1">
      <alignment horizontal="right" wrapText="1"/>
    </xf>
    <xf numFmtId="181" fontId="62" fillId="0" borderId="11" xfId="67" applyNumberFormat="1" applyFont="1" applyFill="1" applyBorder="1" applyAlignment="1">
      <alignment horizontal="right" wrapText="1"/>
    </xf>
    <xf numFmtId="194" fontId="66" fillId="0" borderId="11" xfId="0" applyNumberFormat="1" applyFont="1" applyFill="1" applyBorder="1" applyAlignment="1">
      <alignment horizontal="right" wrapText="1"/>
    </xf>
    <xf numFmtId="194" fontId="62" fillId="0" borderId="11" xfId="0" applyNumberFormat="1" applyFont="1" applyFill="1" applyBorder="1" applyAlignment="1">
      <alignment horizontal="right" wrapText="1"/>
    </xf>
    <xf numFmtId="195" fontId="62" fillId="0" borderId="11" xfId="0" applyNumberFormat="1" applyFont="1" applyFill="1" applyBorder="1" applyAlignment="1">
      <alignment horizontal="right" wrapText="1"/>
    </xf>
    <xf numFmtId="194" fontId="9" fillId="0" borderId="11" xfId="0" applyNumberFormat="1" applyFont="1" applyFill="1" applyBorder="1" applyAlignment="1">
      <alignment horizontal="right" wrapText="1"/>
    </xf>
    <xf numFmtId="49"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left" vertical="center" wrapText="1"/>
    </xf>
    <xf numFmtId="0" fontId="62" fillId="0" borderId="0" xfId="0" applyFont="1" applyFill="1" applyAlignment="1">
      <alignment vertical="center"/>
    </xf>
    <xf numFmtId="195" fontId="9" fillId="0" borderId="11" xfId="0" applyNumberFormat="1" applyFont="1" applyFill="1" applyBorder="1" applyAlignment="1">
      <alignment horizontal="right" wrapText="1"/>
    </xf>
    <xf numFmtId="180" fontId="63" fillId="0" borderId="11" xfId="0" applyNumberFormat="1" applyFont="1" applyFill="1" applyBorder="1" applyAlignment="1">
      <alignment horizontal="right" wrapText="1"/>
    </xf>
    <xf numFmtId="0" fontId="9" fillId="0" borderId="0" xfId="0" applyFont="1" applyFill="1" applyBorder="1" applyAlignment="1">
      <alignment vertical="center"/>
    </xf>
    <xf numFmtId="49" fontId="64" fillId="0" borderId="11" xfId="0" applyNumberFormat="1" applyFont="1" applyFill="1" applyBorder="1" applyAlignment="1">
      <alignment horizontal="center" wrapText="1"/>
    </xf>
    <xf numFmtId="49" fontId="66" fillId="0" borderId="11" xfId="0" applyNumberFormat="1" applyFont="1" applyFill="1" applyBorder="1" applyAlignment="1">
      <alignment horizontal="center" wrapText="1"/>
    </xf>
    <xf numFmtId="49" fontId="66" fillId="0" borderId="11" xfId="60" applyNumberFormat="1" applyFont="1" applyFill="1" applyBorder="1" applyAlignment="1">
      <alignment horizontal="center" vertical="center" wrapText="1"/>
      <protection/>
    </xf>
    <xf numFmtId="49" fontId="67" fillId="0" borderId="11" xfId="60" applyNumberFormat="1" applyFont="1" applyFill="1" applyBorder="1" applyAlignment="1">
      <alignment horizontal="center" vertical="center" wrapText="1"/>
      <protection/>
    </xf>
    <xf numFmtId="0" fontId="62" fillId="0" borderId="11" xfId="60" applyFont="1" applyFill="1" applyBorder="1" applyAlignment="1">
      <alignment vertical="center" wrapText="1"/>
      <protection/>
    </xf>
    <xf numFmtId="0" fontId="66" fillId="0" borderId="0" xfId="0" applyFont="1" applyFill="1" applyAlignment="1">
      <alignment vertical="center"/>
    </xf>
    <xf numFmtId="49" fontId="66" fillId="0" borderId="11" xfId="0" applyNumberFormat="1" applyFont="1" applyFill="1" applyBorder="1" applyAlignment="1">
      <alignment horizontal="center" vertical="center"/>
    </xf>
    <xf numFmtId="0" fontId="62" fillId="0" borderId="11" xfId="0" applyNumberFormat="1" applyFont="1" applyFill="1" applyBorder="1" applyAlignment="1">
      <alignment horizontal="left" vertical="center" wrapText="1"/>
    </xf>
    <xf numFmtId="49" fontId="68" fillId="0" borderId="11" xfId="0" applyNumberFormat="1" applyFont="1" applyFill="1" applyBorder="1" applyAlignment="1">
      <alignment horizontal="center" wrapText="1"/>
    </xf>
    <xf numFmtId="49" fontId="69" fillId="0" borderId="11" xfId="0" applyNumberFormat="1" applyFont="1" applyFill="1" applyBorder="1" applyAlignment="1">
      <alignment horizontal="center" wrapText="1"/>
    </xf>
    <xf numFmtId="49" fontId="70" fillId="0" borderId="11" xfId="0" applyNumberFormat="1" applyFont="1" applyFill="1" applyBorder="1" applyAlignment="1">
      <alignment horizontal="center" wrapText="1"/>
    </xf>
    <xf numFmtId="49" fontId="10" fillId="0" borderId="11" xfId="0" applyNumberFormat="1" applyFont="1" applyFill="1" applyBorder="1" applyAlignment="1">
      <alignment horizontal="center" wrapText="1"/>
    </xf>
    <xf numFmtId="194" fontId="9" fillId="0" borderId="11" xfId="0" applyNumberFormat="1" applyFont="1" applyFill="1" applyBorder="1" applyAlignment="1">
      <alignment vertical="center"/>
    </xf>
    <xf numFmtId="49" fontId="63" fillId="0" borderId="11" xfId="0" applyNumberFormat="1" applyFont="1" applyFill="1" applyBorder="1" applyAlignment="1">
      <alignment horizontal="center" wrapText="1"/>
    </xf>
    <xf numFmtId="194" fontId="62" fillId="0" borderId="11" xfId="0" applyNumberFormat="1" applyFont="1" applyFill="1" applyBorder="1" applyAlignment="1">
      <alignment vertical="center"/>
    </xf>
    <xf numFmtId="49" fontId="71" fillId="0" borderId="11" xfId="0" applyNumberFormat="1" applyFont="1" applyFill="1" applyBorder="1" applyAlignment="1">
      <alignment horizontal="center" wrapText="1"/>
    </xf>
    <xf numFmtId="0" fontId="71" fillId="0" borderId="11" xfId="0" applyNumberFormat="1" applyFont="1" applyFill="1" applyBorder="1" applyAlignment="1">
      <alignment wrapText="1"/>
    </xf>
    <xf numFmtId="0" fontId="62" fillId="0" borderId="11" xfId="0" applyFont="1" applyFill="1" applyBorder="1" applyAlignment="1">
      <alignment horizont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left" vertical="center" wrapText="1"/>
    </xf>
    <xf numFmtId="49" fontId="4" fillId="0" borderId="11" xfId="0" applyNumberFormat="1"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lignment/>
    </xf>
    <xf numFmtId="0" fontId="4" fillId="0" borderId="11" xfId="0" applyFont="1" applyFill="1" applyBorder="1" applyAlignment="1">
      <alignment/>
    </xf>
    <xf numFmtId="180" fontId="4" fillId="36" borderId="11" xfId="74" applyNumberFormat="1" applyFont="1" applyFill="1" applyBorder="1" applyAlignment="1">
      <alignment horizontal="right" wrapText="1"/>
    </xf>
    <xf numFmtId="180" fontId="4" fillId="0" borderId="11" xfId="74" applyNumberFormat="1" applyFont="1" applyFill="1" applyBorder="1" applyAlignment="1">
      <alignment horizontal="right" wrapText="1"/>
    </xf>
    <xf numFmtId="180" fontId="9" fillId="0" borderId="11" xfId="74" applyNumberFormat="1" applyFont="1" applyFill="1" applyBorder="1" applyAlignment="1">
      <alignment horizontal="right" wrapText="1"/>
    </xf>
    <xf numFmtId="49" fontId="4" fillId="0" borderId="11" xfId="60" applyNumberFormat="1" applyFont="1" applyFill="1" applyBorder="1" applyAlignment="1">
      <alignment horizontal="left" wrapText="1"/>
      <protection/>
    </xf>
    <xf numFmtId="180" fontId="62" fillId="0" borderId="11" xfId="74" applyNumberFormat="1" applyFont="1" applyFill="1" applyBorder="1" applyAlignment="1">
      <alignment horizontal="right" wrapText="1"/>
    </xf>
    <xf numFmtId="0" fontId="9" fillId="0" borderId="11" xfId="0" applyFont="1" applyFill="1" applyBorder="1" applyAlignment="1">
      <alignment wrapText="1"/>
    </xf>
    <xf numFmtId="194" fontId="12" fillId="0" borderId="11" xfId="0" applyNumberFormat="1" applyFont="1" applyFill="1" applyBorder="1" applyAlignment="1">
      <alignment wrapText="1"/>
    </xf>
    <xf numFmtId="194" fontId="72" fillId="0" borderId="11" xfId="0" applyNumberFormat="1" applyFont="1" applyFill="1" applyBorder="1" applyAlignment="1">
      <alignment wrapText="1"/>
    </xf>
    <xf numFmtId="49" fontId="9" fillId="0" borderId="11" xfId="54" applyNumberFormat="1" applyFont="1" applyFill="1" applyBorder="1" applyAlignment="1">
      <alignment horizontal="center" vertical="center"/>
      <protection/>
    </xf>
    <xf numFmtId="49" fontId="18" fillId="0" borderId="11" xfId="0" applyNumberFormat="1" applyFont="1" applyFill="1" applyBorder="1" applyAlignment="1">
      <alignment/>
    </xf>
    <xf numFmtId="180" fontId="4" fillId="0" borderId="11" xfId="54" applyNumberFormat="1" applyFont="1" applyFill="1" applyBorder="1" applyAlignment="1">
      <alignment horizontal="right" vertical="center"/>
      <protection/>
    </xf>
    <xf numFmtId="181" fontId="4" fillId="0" borderId="11" xfId="67" applyNumberFormat="1" applyFont="1" applyFill="1" applyBorder="1" applyAlignment="1">
      <alignment horizontal="right" vertical="center"/>
    </xf>
    <xf numFmtId="0" fontId="12" fillId="0" borderId="11" xfId="0" applyFont="1" applyFill="1" applyBorder="1" applyAlignment="1">
      <alignment horizontal="left" wrapText="1"/>
    </xf>
    <xf numFmtId="180" fontId="11" fillId="0" borderId="13" xfId="0" applyNumberFormat="1" applyFont="1" applyFill="1" applyBorder="1" applyAlignment="1">
      <alignment horizontal="center"/>
    </xf>
    <xf numFmtId="49" fontId="11" fillId="0" borderId="16" xfId="0" applyNumberFormat="1" applyFont="1" applyFill="1" applyBorder="1" applyAlignment="1" applyProtection="1">
      <alignment horizontal="center" vertical="center" wrapText="1"/>
      <protection/>
    </xf>
    <xf numFmtId="0" fontId="12" fillId="0" borderId="11" xfId="0" applyFont="1" applyFill="1" applyBorder="1" applyAlignment="1">
      <alignment horizontal="left"/>
    </xf>
    <xf numFmtId="4" fontId="9" fillId="0" borderId="0" xfId="0" applyNumberFormat="1" applyFont="1" applyFill="1" applyAlignment="1">
      <alignment horizontal="right" vertical="center"/>
    </xf>
    <xf numFmtId="0" fontId="9" fillId="0" borderId="11" xfId="0" applyFont="1" applyFill="1" applyBorder="1" applyAlignment="1">
      <alignment horizontal="center"/>
    </xf>
    <xf numFmtId="181" fontId="9" fillId="0" borderId="0" xfId="67" applyNumberFormat="1" applyFont="1" applyFill="1" applyAlignment="1">
      <alignment vertical="center"/>
    </xf>
    <xf numFmtId="181" fontId="9" fillId="0" borderId="0" xfId="0" applyNumberFormat="1" applyFont="1" applyFill="1" applyAlignment="1">
      <alignment vertical="center"/>
    </xf>
    <xf numFmtId="181" fontId="4" fillId="0" borderId="0" xfId="67" applyNumberFormat="1" applyFont="1" applyFill="1" applyAlignment="1">
      <alignment vertical="center"/>
    </xf>
    <xf numFmtId="181" fontId="4" fillId="0" borderId="0" xfId="60" applyNumberFormat="1" applyFont="1" applyFill="1" applyAlignment="1">
      <alignment vertical="center"/>
      <protection/>
    </xf>
    <xf numFmtId="180" fontId="11" fillId="0" borderId="0" xfId="0" applyNumberFormat="1" applyFont="1" applyFill="1" applyAlignment="1">
      <alignment horizontal="left" vertical="center"/>
    </xf>
    <xf numFmtId="180" fontId="10" fillId="0" borderId="0" xfId="0" applyNumberFormat="1" applyFont="1" applyFill="1" applyAlignment="1">
      <alignment horizontal="left" vertical="center"/>
    </xf>
    <xf numFmtId="180" fontId="4" fillId="0" borderId="11" xfId="0" applyNumberFormat="1" applyFont="1" applyFill="1" applyBorder="1" applyAlignment="1">
      <alignment horizontal="center"/>
    </xf>
    <xf numFmtId="0" fontId="4" fillId="0" borderId="15" xfId="0" applyFont="1" applyFill="1" applyBorder="1" applyAlignment="1">
      <alignment/>
    </xf>
    <xf numFmtId="180" fontId="4" fillId="0" borderId="15" xfId="0" applyNumberFormat="1" applyFont="1" applyFill="1" applyBorder="1" applyAlignment="1">
      <alignment horizontal="center"/>
    </xf>
    <xf numFmtId="181" fontId="4" fillId="0" borderId="11" xfId="0" applyNumberFormat="1" applyFont="1" applyFill="1" applyBorder="1" applyAlignment="1">
      <alignment horizontal="center" wrapText="1"/>
    </xf>
    <xf numFmtId="0" fontId="9" fillId="0" borderId="0" xfId="60" applyFont="1" applyFill="1" applyAlignment="1">
      <alignment vertical="center"/>
      <protection/>
    </xf>
    <xf numFmtId="49" fontId="9" fillId="0" borderId="0" xfId="60" applyNumberFormat="1" applyFont="1" applyFill="1" applyAlignment="1">
      <alignment horizontal="center" vertical="center"/>
      <protection/>
    </xf>
    <xf numFmtId="0" fontId="9" fillId="0" borderId="0" xfId="60" applyFont="1" applyFill="1" applyAlignment="1">
      <alignment vertical="center" wrapText="1"/>
      <protection/>
    </xf>
    <xf numFmtId="0" fontId="9" fillId="0" borderId="0" xfId="60" applyFont="1" applyFill="1" applyAlignment="1">
      <alignment horizontal="right" vertical="center"/>
      <protection/>
    </xf>
    <xf numFmtId="0" fontId="4" fillId="0" borderId="11" xfId="60" applyFont="1" applyFill="1" applyBorder="1" applyAlignment="1">
      <alignment horizontal="center" vertical="center" wrapText="1"/>
      <protection/>
    </xf>
    <xf numFmtId="0" fontId="4" fillId="0" borderId="11" xfId="60" applyFont="1" applyFill="1" applyBorder="1" applyAlignment="1">
      <alignment horizontal="center" vertical="center"/>
      <protection/>
    </xf>
    <xf numFmtId="49" fontId="9" fillId="0" borderId="11" xfId="60" applyNumberFormat="1" applyFont="1" applyFill="1" applyBorder="1" applyAlignment="1">
      <alignment horizontal="center" vertical="center"/>
      <protection/>
    </xf>
    <xf numFmtId="0" fontId="9" fillId="0" borderId="11" xfId="60" applyFont="1" applyFill="1" applyBorder="1" applyAlignment="1">
      <alignment vertical="center" wrapText="1"/>
      <protection/>
    </xf>
    <xf numFmtId="180" fontId="9" fillId="34" borderId="11" xfId="0" applyNumberFormat="1" applyFont="1" applyFill="1" applyBorder="1" applyAlignment="1">
      <alignment vertical="center"/>
    </xf>
    <xf numFmtId="181" fontId="9" fillId="0" borderId="11" xfId="67" applyNumberFormat="1" applyFont="1" applyFill="1" applyBorder="1" applyAlignment="1">
      <alignment vertical="center"/>
    </xf>
    <xf numFmtId="180" fontId="9" fillId="0" borderId="11" xfId="0" applyNumberFormat="1" applyFont="1" applyFill="1" applyBorder="1" applyAlignment="1">
      <alignment horizontal="right" vertical="center"/>
    </xf>
    <xf numFmtId="180" fontId="9" fillId="34" borderId="11" xfId="0" applyNumberFormat="1" applyFont="1" applyFill="1" applyBorder="1" applyAlignment="1">
      <alignment horizontal="right" vertical="center"/>
    </xf>
    <xf numFmtId="0" fontId="9" fillId="0" borderId="11" xfId="60" applyFont="1" applyFill="1" applyBorder="1" applyAlignment="1">
      <alignment horizontal="center" vertical="center"/>
      <protection/>
    </xf>
    <xf numFmtId="0" fontId="14" fillId="0" borderId="0" xfId="0" applyFont="1" applyFill="1" applyAlignment="1">
      <alignment horizontal="center" wrapText="1"/>
    </xf>
    <xf numFmtId="0" fontId="14" fillId="0" borderId="11" xfId="0" applyFont="1" applyFill="1" applyBorder="1" applyAlignment="1">
      <alignment horizontal="center"/>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Alignment="1">
      <alignment horizontal="center"/>
    </xf>
    <xf numFmtId="0" fontId="4" fillId="0" borderId="0" xfId="0" applyFont="1" applyFill="1" applyAlignment="1">
      <alignment horizontal="center" vertical="center"/>
    </xf>
    <xf numFmtId="0" fontId="4" fillId="0" borderId="11" xfId="0" applyFont="1" applyFill="1" applyBorder="1" applyAlignment="1">
      <alignment wrapText="1"/>
    </xf>
    <xf numFmtId="4" fontId="4" fillId="0" borderId="16" xfId="54" applyNumberFormat="1" applyFont="1" applyFill="1" applyBorder="1" applyAlignment="1">
      <alignment horizontal="center" vertical="center" wrapText="1"/>
      <protection/>
    </xf>
    <xf numFmtId="4" fontId="4" fillId="0" borderId="12" xfId="54" applyNumberFormat="1"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54" applyNumberFormat="1" applyFont="1" applyFill="1" applyBorder="1" applyAlignment="1">
      <alignment horizontal="center" vertical="center" wrapText="1"/>
      <protection/>
    </xf>
    <xf numFmtId="0" fontId="4" fillId="0" borderId="12" xfId="54" applyNumberFormat="1" applyFont="1" applyFill="1" applyBorder="1" applyAlignment="1">
      <alignment horizontal="center" vertical="center" wrapText="1"/>
      <protection/>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2" fillId="0" borderId="0" xfId="0" applyFont="1" applyFill="1" applyAlignment="1">
      <alignment horizontal="center" vertical="center" wrapText="1"/>
    </xf>
    <xf numFmtId="49" fontId="4" fillId="0" borderId="0" xfId="60" applyNumberFormat="1" applyFont="1" applyFill="1" applyAlignment="1">
      <alignment horizontal="center" vertical="center" wrapText="1"/>
      <protection/>
    </xf>
    <xf numFmtId="49" fontId="4" fillId="0" borderId="11" xfId="60" applyNumberFormat="1" applyFont="1" applyFill="1" applyBorder="1" applyAlignment="1">
      <alignment horizontal="center" vertical="center" wrapText="1"/>
      <protection/>
    </xf>
    <xf numFmtId="0" fontId="4" fillId="0" borderId="11" xfId="60" applyFont="1" applyFill="1" applyBorder="1" applyAlignment="1">
      <alignment horizontal="center" vertical="center" wrapText="1"/>
      <protection/>
    </xf>
    <xf numFmtId="180" fontId="4" fillId="0" borderId="16" xfId="0" applyNumberFormat="1" applyFont="1" applyFill="1" applyBorder="1" applyAlignment="1">
      <alignment horizontal="center" vertical="center" wrapText="1"/>
    </xf>
    <xf numFmtId="180" fontId="4" fillId="0" borderId="12" xfId="0" applyNumberFormat="1" applyFont="1" applyFill="1" applyBorder="1" applyAlignment="1">
      <alignment horizontal="center" vertical="center" wrapText="1"/>
    </xf>
    <xf numFmtId="180" fontId="4" fillId="0" borderId="19"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APBEXstdData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2" xfId="54"/>
    <cellStyle name="Обычный 13" xfId="55"/>
    <cellStyle name="Обычный 2" xfId="56"/>
    <cellStyle name="Обычный 3" xfId="57"/>
    <cellStyle name="Обычный 5" xfId="58"/>
    <cellStyle name="Обычный 9" xfId="59"/>
    <cellStyle name="Обычный_к думе 2009-2011 г. 2" xfId="60"/>
    <cellStyle name="Обычный_прил.3,5,7  к реш.  Расходы 2009-2011" xfId="61"/>
    <cellStyle name="Обычный_РАСХ98_прил. к поясн." xfId="62"/>
    <cellStyle name="Followed Hyperlink" xfId="63"/>
    <cellStyle name="Плохой" xfId="64"/>
    <cellStyle name="Пояснение" xfId="65"/>
    <cellStyle name="Примечание" xfId="66"/>
    <cellStyle name="Percent" xfId="67"/>
    <cellStyle name="Процентный 2" xfId="68"/>
    <cellStyle name="Связанная ячейка" xfId="69"/>
    <cellStyle name="Стиль 1" xfId="70"/>
    <cellStyle name="Текст предупреждения" xfId="71"/>
    <cellStyle name="Comma" xfId="72"/>
    <cellStyle name="Comma [0]" xfId="73"/>
    <cellStyle name="Финансовый 2"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88"/>
  <sheetViews>
    <sheetView view="pageLayout" workbookViewId="0" topLeftCell="B61">
      <selection activeCell="H14" sqref="H14"/>
    </sheetView>
  </sheetViews>
  <sheetFormatPr defaultColWidth="9.00390625" defaultRowHeight="12.75"/>
  <cols>
    <col min="1" max="1" width="17.375" style="58" customWidth="1"/>
    <col min="2" max="2" width="24.625" style="58" customWidth="1"/>
    <col min="3" max="3" width="81.75390625" style="58" customWidth="1"/>
    <col min="4" max="4" width="20.25390625" style="59" customWidth="1"/>
    <col min="5" max="5" width="9.125" style="58" customWidth="1"/>
    <col min="6" max="6" width="17.125" style="58" customWidth="1"/>
    <col min="7" max="16384" width="9.125" style="58" customWidth="1"/>
  </cols>
  <sheetData>
    <row r="1" spans="1:4" ht="15.75">
      <c r="A1" s="95"/>
      <c r="B1" s="95"/>
      <c r="D1" s="29" t="s">
        <v>733</v>
      </c>
    </row>
    <row r="2" spans="1:4" ht="15.75">
      <c r="A2" s="95"/>
      <c r="B2" s="95"/>
      <c r="D2" s="29" t="s">
        <v>458</v>
      </c>
    </row>
    <row r="3" spans="1:4" ht="15.75">
      <c r="A3" s="95"/>
      <c r="B3" s="95"/>
      <c r="D3" s="29" t="s">
        <v>459</v>
      </c>
    </row>
    <row r="4" spans="1:4" ht="15.75">
      <c r="A4" s="95"/>
      <c r="B4" s="95"/>
      <c r="D4" s="29" t="s">
        <v>1097</v>
      </c>
    </row>
    <row r="5" spans="1:4" ht="15.75">
      <c r="A5" s="95"/>
      <c r="B5" s="95"/>
      <c r="D5" s="29"/>
    </row>
    <row r="6" spans="1:4" ht="15.75">
      <c r="A6" s="246" t="s">
        <v>1048</v>
      </c>
      <c r="B6" s="246"/>
      <c r="C6" s="246"/>
      <c r="D6" s="246"/>
    </row>
    <row r="7" spans="1:4" ht="15.75">
      <c r="A7" s="96"/>
      <c r="B7" s="96"/>
      <c r="C7" s="96"/>
      <c r="D7" s="94"/>
    </row>
    <row r="8" spans="1:4" ht="15.75">
      <c r="A8" s="95"/>
      <c r="B8" s="95"/>
      <c r="C8" s="95"/>
      <c r="D8" s="59" t="s">
        <v>1</v>
      </c>
    </row>
    <row r="9" spans="1:4" ht="15.75">
      <c r="A9" s="247" t="s">
        <v>734</v>
      </c>
      <c r="B9" s="247"/>
      <c r="C9" s="248" t="s">
        <v>491</v>
      </c>
      <c r="D9" s="250" t="s">
        <v>492</v>
      </c>
    </row>
    <row r="10" spans="1:4" ht="63">
      <c r="A10" s="97" t="s">
        <v>735</v>
      </c>
      <c r="B10" s="97" t="s">
        <v>736</v>
      </c>
      <c r="C10" s="249"/>
      <c r="D10" s="250"/>
    </row>
    <row r="11" spans="1:4" ht="15.75">
      <c r="A11" s="98">
        <v>1</v>
      </c>
      <c r="B11" s="98">
        <v>2</v>
      </c>
      <c r="C11" s="99">
        <v>3</v>
      </c>
      <c r="D11" s="100">
        <v>4</v>
      </c>
    </row>
    <row r="12" spans="1:4" ht="21.75" customHeight="1">
      <c r="A12" s="101" t="s">
        <v>737</v>
      </c>
      <c r="B12" s="75"/>
      <c r="C12" s="86" t="s">
        <v>738</v>
      </c>
      <c r="D12" s="65">
        <f>D13+D14+D15</f>
        <v>14357.1</v>
      </c>
    </row>
    <row r="13" spans="1:4" ht="49.5" customHeight="1">
      <c r="A13" s="102" t="s">
        <v>737</v>
      </c>
      <c r="B13" s="68" t="s">
        <v>645</v>
      </c>
      <c r="C13" s="69" t="s">
        <v>646</v>
      </c>
      <c r="D13" s="71">
        <v>192.1</v>
      </c>
    </row>
    <row r="14" spans="1:4" ht="47.25">
      <c r="A14" s="102" t="s">
        <v>737</v>
      </c>
      <c r="B14" s="68" t="s">
        <v>647</v>
      </c>
      <c r="C14" s="69" t="s">
        <v>1049</v>
      </c>
      <c r="D14" s="71">
        <v>13611</v>
      </c>
    </row>
    <row r="15" spans="1:4" ht="47.25">
      <c r="A15" s="102" t="s">
        <v>737</v>
      </c>
      <c r="B15" s="68" t="s">
        <v>1050</v>
      </c>
      <c r="C15" s="69" t="s">
        <v>1051</v>
      </c>
      <c r="D15" s="71">
        <v>554</v>
      </c>
    </row>
    <row r="16" spans="1:4" ht="24.75" customHeight="1">
      <c r="A16" s="101" t="s">
        <v>46</v>
      </c>
      <c r="B16" s="75"/>
      <c r="C16" s="86" t="s">
        <v>739</v>
      </c>
      <c r="D16" s="65">
        <f>D17+D18+D19+D20</f>
        <v>5437.6</v>
      </c>
    </row>
    <row r="17" spans="1:4" ht="63">
      <c r="A17" s="102" t="s">
        <v>46</v>
      </c>
      <c r="B17" s="68" t="s">
        <v>543</v>
      </c>
      <c r="C17" s="69" t="s">
        <v>544</v>
      </c>
      <c r="D17" s="71">
        <v>2422.8</v>
      </c>
    </row>
    <row r="18" spans="1:4" ht="78.75">
      <c r="A18" s="102" t="s">
        <v>46</v>
      </c>
      <c r="B18" s="68" t="s">
        <v>545</v>
      </c>
      <c r="C18" s="69" t="s">
        <v>546</v>
      </c>
      <c r="D18" s="71">
        <v>23.3</v>
      </c>
    </row>
    <row r="19" spans="1:4" ht="63">
      <c r="A19" s="102" t="s">
        <v>46</v>
      </c>
      <c r="B19" s="68" t="s">
        <v>547</v>
      </c>
      <c r="C19" s="69" t="s">
        <v>548</v>
      </c>
      <c r="D19" s="71">
        <v>3534.3</v>
      </c>
    </row>
    <row r="20" spans="1:4" ht="63">
      <c r="A20" s="102" t="s">
        <v>46</v>
      </c>
      <c r="B20" s="68" t="s">
        <v>549</v>
      </c>
      <c r="C20" s="69" t="s">
        <v>550</v>
      </c>
      <c r="D20" s="71">
        <v>-542.8</v>
      </c>
    </row>
    <row r="21" spans="1:4" ht="21" customHeight="1">
      <c r="A21" s="75">
        <v>106</v>
      </c>
      <c r="B21" s="75"/>
      <c r="C21" s="86" t="s">
        <v>740</v>
      </c>
      <c r="D21" s="65">
        <f>D22+D23</f>
        <v>89.5</v>
      </c>
    </row>
    <row r="22" spans="1:4" ht="48" customHeight="1">
      <c r="A22" s="68">
        <v>106</v>
      </c>
      <c r="B22" s="68" t="s">
        <v>688</v>
      </c>
      <c r="C22" s="69" t="s">
        <v>689</v>
      </c>
      <c r="D22" s="71">
        <v>3</v>
      </c>
    </row>
    <row r="23" spans="1:4" ht="63">
      <c r="A23" s="68">
        <v>106</v>
      </c>
      <c r="B23" s="68" t="s">
        <v>702</v>
      </c>
      <c r="C23" s="69" t="s">
        <v>703</v>
      </c>
      <c r="D23" s="71">
        <v>86.5</v>
      </c>
    </row>
    <row r="24" spans="1:4" ht="31.5">
      <c r="A24" s="75">
        <v>141</v>
      </c>
      <c r="B24" s="75"/>
      <c r="C24" s="86" t="s">
        <v>741</v>
      </c>
      <c r="D24" s="65">
        <f>D25+D26+D27+D28+D29+D30</f>
        <v>6470.9</v>
      </c>
    </row>
    <row r="25" spans="1:4" ht="78.75">
      <c r="A25" s="68">
        <v>141</v>
      </c>
      <c r="B25" s="68" t="s">
        <v>742</v>
      </c>
      <c r="C25" s="69" t="s">
        <v>753</v>
      </c>
      <c r="D25" s="71">
        <v>70</v>
      </c>
    </row>
    <row r="26" spans="1:4" ht="62.25" customHeight="1">
      <c r="A26" s="68">
        <v>141</v>
      </c>
      <c r="B26" s="68" t="s">
        <v>679</v>
      </c>
      <c r="C26" s="69" t="s">
        <v>680</v>
      </c>
      <c r="D26" s="71">
        <v>1009</v>
      </c>
    </row>
    <row r="27" spans="1:4" ht="48.75" customHeight="1">
      <c r="A27" s="68">
        <v>141</v>
      </c>
      <c r="B27" s="68" t="s">
        <v>682</v>
      </c>
      <c r="C27" s="69" t="s">
        <v>683</v>
      </c>
      <c r="D27" s="71">
        <v>693</v>
      </c>
    </row>
    <row r="28" spans="1:4" ht="78.75">
      <c r="A28" s="68">
        <v>141</v>
      </c>
      <c r="B28" s="68" t="s">
        <v>686</v>
      </c>
      <c r="C28" s="69" t="s">
        <v>743</v>
      </c>
      <c r="D28" s="71">
        <v>4210.9</v>
      </c>
    </row>
    <row r="29" spans="1:4" ht="78.75">
      <c r="A29" s="68">
        <v>141</v>
      </c>
      <c r="B29" s="68" t="s">
        <v>692</v>
      </c>
      <c r="C29" s="69" t="s">
        <v>693</v>
      </c>
      <c r="D29" s="71">
        <v>26</v>
      </c>
    </row>
    <row r="30" spans="1:4" ht="63">
      <c r="A30" s="68">
        <v>141</v>
      </c>
      <c r="B30" s="68" t="s">
        <v>702</v>
      </c>
      <c r="C30" s="69" t="s">
        <v>703</v>
      </c>
      <c r="D30" s="71">
        <v>462</v>
      </c>
    </row>
    <row r="31" spans="1:4" ht="15.75">
      <c r="A31" s="75">
        <v>161</v>
      </c>
      <c r="B31" s="75"/>
      <c r="C31" s="86" t="s">
        <v>1052</v>
      </c>
      <c r="D31" s="65">
        <f>D32</f>
        <v>3</v>
      </c>
    </row>
    <row r="32" spans="1:4" ht="84" customHeight="1">
      <c r="A32" s="68">
        <v>161</v>
      </c>
      <c r="B32" s="68" t="s">
        <v>1053</v>
      </c>
      <c r="C32" s="69" t="s">
        <v>1054</v>
      </c>
      <c r="D32" s="71">
        <v>3</v>
      </c>
    </row>
    <row r="33" spans="1:4" ht="31.5">
      <c r="A33" s="75">
        <v>177</v>
      </c>
      <c r="B33" s="75"/>
      <c r="C33" s="86" t="s">
        <v>744</v>
      </c>
      <c r="D33" s="65">
        <f>D34+D35</f>
        <v>34.3</v>
      </c>
    </row>
    <row r="34" spans="1:4" ht="78.75">
      <c r="A34" s="68">
        <v>177</v>
      </c>
      <c r="B34" s="68" t="s">
        <v>692</v>
      </c>
      <c r="C34" s="69" t="s">
        <v>693</v>
      </c>
      <c r="D34" s="71">
        <v>34</v>
      </c>
    </row>
    <row r="35" spans="1:4" ht="47.25">
      <c r="A35" s="68">
        <v>177</v>
      </c>
      <c r="B35" s="68" t="s">
        <v>704</v>
      </c>
      <c r="C35" s="69" t="s">
        <v>745</v>
      </c>
      <c r="D35" s="71">
        <v>0.3</v>
      </c>
    </row>
    <row r="36" spans="1:4" ht="18.75" customHeight="1">
      <c r="A36" s="75">
        <v>182</v>
      </c>
      <c r="B36" s="75"/>
      <c r="C36" s="86" t="s">
        <v>746</v>
      </c>
      <c r="D36" s="65">
        <f>D37+D38+D39+D40+D41+D42+D43+D44+D45+D46+D47+D48+D49+D50+D51+D52+D53+D54+D55+D56+D57+D58+D59+D60+D61+D62+D63+D64+D65+D66+D67+D68+D69+D70+D71+D72+D73+D74+D75+D76+D77+D78</f>
        <v>903499.2999999998</v>
      </c>
    </row>
    <row r="37" spans="1:4" ht="94.5">
      <c r="A37" s="68">
        <v>182</v>
      </c>
      <c r="B37" s="68" t="s">
        <v>517</v>
      </c>
      <c r="C37" s="69" t="s">
        <v>518</v>
      </c>
      <c r="D37" s="71">
        <v>564033.2</v>
      </c>
    </row>
    <row r="38" spans="1:4" ht="81.75" customHeight="1">
      <c r="A38" s="68">
        <v>182</v>
      </c>
      <c r="B38" s="68" t="s">
        <v>519</v>
      </c>
      <c r="C38" s="69" t="s">
        <v>747</v>
      </c>
      <c r="D38" s="71">
        <v>1145.5</v>
      </c>
    </row>
    <row r="39" spans="1:4" ht="94.5">
      <c r="A39" s="68">
        <v>182</v>
      </c>
      <c r="B39" s="68" t="s">
        <v>521</v>
      </c>
      <c r="C39" s="69" t="s">
        <v>522</v>
      </c>
      <c r="D39" s="71">
        <v>533.5</v>
      </c>
    </row>
    <row r="40" spans="1:4" ht="63">
      <c r="A40" s="68">
        <v>182</v>
      </c>
      <c r="B40" s="68" t="s">
        <v>523</v>
      </c>
      <c r="C40" s="69" t="s">
        <v>748</v>
      </c>
      <c r="D40" s="71">
        <v>-1.1</v>
      </c>
    </row>
    <row r="41" spans="1:4" ht="110.25">
      <c r="A41" s="68">
        <v>182</v>
      </c>
      <c r="B41" s="68" t="s">
        <v>525</v>
      </c>
      <c r="C41" s="73" t="s">
        <v>526</v>
      </c>
      <c r="D41" s="71">
        <v>2382.6</v>
      </c>
    </row>
    <row r="42" spans="1:4" ht="95.25" customHeight="1">
      <c r="A42" s="68">
        <v>182</v>
      </c>
      <c r="B42" s="68" t="s">
        <v>527</v>
      </c>
      <c r="C42" s="73" t="s">
        <v>528</v>
      </c>
      <c r="D42" s="71">
        <v>13.5</v>
      </c>
    </row>
    <row r="43" spans="1:4" ht="110.25">
      <c r="A43" s="68">
        <v>182</v>
      </c>
      <c r="B43" s="68" t="s">
        <v>529</v>
      </c>
      <c r="C43" s="74" t="s">
        <v>530</v>
      </c>
      <c r="D43" s="71">
        <v>20</v>
      </c>
    </row>
    <row r="44" spans="1:4" ht="63">
      <c r="A44" s="68">
        <v>182</v>
      </c>
      <c r="B44" s="68" t="s">
        <v>531</v>
      </c>
      <c r="C44" s="73" t="s">
        <v>532</v>
      </c>
      <c r="D44" s="71">
        <v>10914.7</v>
      </c>
    </row>
    <row r="45" spans="1:4" ht="47.25">
      <c r="A45" s="68">
        <v>182</v>
      </c>
      <c r="B45" s="68" t="s">
        <v>533</v>
      </c>
      <c r="C45" s="73" t="s">
        <v>534</v>
      </c>
      <c r="D45" s="71">
        <v>153.6</v>
      </c>
    </row>
    <row r="46" spans="1:4" ht="63">
      <c r="A46" s="68">
        <v>182</v>
      </c>
      <c r="B46" s="68" t="s">
        <v>535</v>
      </c>
      <c r="C46" s="73" t="s">
        <v>536</v>
      </c>
      <c r="D46" s="71">
        <v>127.1</v>
      </c>
    </row>
    <row r="47" spans="1:4" ht="47.25">
      <c r="A47" s="68">
        <v>182</v>
      </c>
      <c r="B47" s="68" t="s">
        <v>1055</v>
      </c>
      <c r="C47" s="73" t="s">
        <v>1056</v>
      </c>
      <c r="D47" s="71">
        <v>0.9</v>
      </c>
    </row>
    <row r="48" spans="1:4" ht="94.5">
      <c r="A48" s="68">
        <v>182</v>
      </c>
      <c r="B48" s="68" t="s">
        <v>537</v>
      </c>
      <c r="C48" s="73" t="s">
        <v>538</v>
      </c>
      <c r="D48" s="71">
        <v>1685.9</v>
      </c>
    </row>
    <row r="49" spans="1:4" ht="65.25" customHeight="1">
      <c r="A49" s="68">
        <v>182</v>
      </c>
      <c r="B49" s="68" t="s">
        <v>1057</v>
      </c>
      <c r="C49" s="73" t="s">
        <v>1058</v>
      </c>
      <c r="D49" s="71">
        <v>386.7</v>
      </c>
    </row>
    <row r="50" spans="1:4" ht="47.25">
      <c r="A50" s="68">
        <v>182</v>
      </c>
      <c r="B50" s="68" t="s">
        <v>555</v>
      </c>
      <c r="C50" s="69" t="s">
        <v>556</v>
      </c>
      <c r="D50" s="71">
        <v>69525.2</v>
      </c>
    </row>
    <row r="51" spans="1:4" ht="31.5">
      <c r="A51" s="68">
        <v>182</v>
      </c>
      <c r="B51" s="68" t="s">
        <v>557</v>
      </c>
      <c r="C51" s="69" t="s">
        <v>749</v>
      </c>
      <c r="D51" s="71">
        <v>227.6</v>
      </c>
    </row>
    <row r="52" spans="1:4" ht="47.25">
      <c r="A52" s="68">
        <v>182</v>
      </c>
      <c r="B52" s="68" t="s">
        <v>559</v>
      </c>
      <c r="C52" s="69" t="s">
        <v>560</v>
      </c>
      <c r="D52" s="71">
        <v>183.5</v>
      </c>
    </row>
    <row r="53" spans="1:4" ht="47.25">
      <c r="A53" s="68">
        <v>182</v>
      </c>
      <c r="B53" s="68" t="s">
        <v>561</v>
      </c>
      <c r="C53" s="69" t="s">
        <v>562</v>
      </c>
      <c r="D53" s="71">
        <v>4.6</v>
      </c>
    </row>
    <row r="54" spans="1:4" ht="63">
      <c r="A54" s="68">
        <v>182</v>
      </c>
      <c r="B54" s="68" t="s">
        <v>563</v>
      </c>
      <c r="C54" s="69" t="s">
        <v>564</v>
      </c>
      <c r="D54" s="71">
        <v>1.8</v>
      </c>
    </row>
    <row r="55" spans="1:4" ht="31.5">
      <c r="A55" s="68">
        <v>182</v>
      </c>
      <c r="B55" s="68" t="s">
        <v>1059</v>
      </c>
      <c r="C55" s="84" t="s">
        <v>1060</v>
      </c>
      <c r="D55" s="71">
        <v>0.5</v>
      </c>
    </row>
    <row r="56" spans="1:4" ht="34.5" customHeight="1">
      <c r="A56" s="68">
        <v>182</v>
      </c>
      <c r="B56" s="68" t="s">
        <v>834</v>
      </c>
      <c r="C56" s="84" t="s">
        <v>835</v>
      </c>
      <c r="D56" s="71">
        <v>3</v>
      </c>
    </row>
    <row r="57" spans="1:4" ht="63">
      <c r="A57" s="68">
        <v>182</v>
      </c>
      <c r="B57" s="68" t="s">
        <v>567</v>
      </c>
      <c r="C57" s="84" t="s">
        <v>568</v>
      </c>
      <c r="D57" s="71">
        <v>6589.1</v>
      </c>
    </row>
    <row r="58" spans="1:4" ht="47.25">
      <c r="A58" s="68">
        <v>182</v>
      </c>
      <c r="B58" s="68" t="s">
        <v>836</v>
      </c>
      <c r="C58" s="84" t="s">
        <v>837</v>
      </c>
      <c r="D58" s="71">
        <v>3.2</v>
      </c>
    </row>
    <row r="59" spans="1:4" ht="34.5" customHeight="1">
      <c r="A59" s="68">
        <v>182</v>
      </c>
      <c r="B59" s="68" t="s">
        <v>569</v>
      </c>
      <c r="C59" s="84" t="s">
        <v>570</v>
      </c>
      <c r="D59" s="71">
        <v>-21.5</v>
      </c>
    </row>
    <row r="60" spans="1:4" ht="63">
      <c r="A60" s="68">
        <v>182</v>
      </c>
      <c r="B60" s="68" t="s">
        <v>575</v>
      </c>
      <c r="C60" s="69" t="s">
        <v>576</v>
      </c>
      <c r="D60" s="71">
        <v>24716.1</v>
      </c>
    </row>
    <row r="61" spans="1:4" ht="47.25">
      <c r="A61" s="68">
        <v>182</v>
      </c>
      <c r="B61" s="68" t="s">
        <v>577</v>
      </c>
      <c r="C61" s="69" t="s">
        <v>578</v>
      </c>
      <c r="D61" s="71">
        <v>363.5</v>
      </c>
    </row>
    <row r="62" spans="1:4" ht="47.25">
      <c r="A62" s="68">
        <v>182</v>
      </c>
      <c r="B62" s="68" t="s">
        <v>579</v>
      </c>
      <c r="C62" s="84" t="s">
        <v>580</v>
      </c>
      <c r="D62" s="71">
        <v>-0.1</v>
      </c>
    </row>
    <row r="63" spans="1:4" ht="31.5">
      <c r="A63" s="68">
        <v>182</v>
      </c>
      <c r="B63" s="68" t="s">
        <v>584</v>
      </c>
      <c r="C63" s="69" t="s">
        <v>585</v>
      </c>
      <c r="D63" s="71">
        <v>12446.1</v>
      </c>
    </row>
    <row r="64" spans="1:4" ht="20.25" customHeight="1">
      <c r="A64" s="68">
        <v>182</v>
      </c>
      <c r="B64" s="68" t="s">
        <v>586</v>
      </c>
      <c r="C64" s="69" t="s">
        <v>587</v>
      </c>
      <c r="D64" s="71">
        <v>93.8</v>
      </c>
    </row>
    <row r="65" spans="1:4" ht="31.5">
      <c r="A65" s="68">
        <v>182</v>
      </c>
      <c r="B65" s="68" t="s">
        <v>588</v>
      </c>
      <c r="C65" s="69" t="s">
        <v>589</v>
      </c>
      <c r="D65" s="71">
        <v>14</v>
      </c>
    </row>
    <row r="66" spans="1:4" ht="31.5">
      <c r="A66" s="68">
        <v>182</v>
      </c>
      <c r="B66" s="68" t="s">
        <v>592</v>
      </c>
      <c r="C66" s="69" t="s">
        <v>593</v>
      </c>
      <c r="D66" s="71">
        <v>67237</v>
      </c>
    </row>
    <row r="67" spans="1:4" ht="15.75">
      <c r="A67" s="68">
        <v>182</v>
      </c>
      <c r="B67" s="68" t="s">
        <v>594</v>
      </c>
      <c r="C67" s="69" t="s">
        <v>595</v>
      </c>
      <c r="D67" s="71">
        <v>1705.9</v>
      </c>
    </row>
    <row r="68" spans="1:4" ht="15.75">
      <c r="A68" s="68">
        <v>182</v>
      </c>
      <c r="B68" s="68" t="s">
        <v>596</v>
      </c>
      <c r="C68" s="69" t="s">
        <v>597</v>
      </c>
      <c r="D68" s="71">
        <v>-0.2</v>
      </c>
    </row>
    <row r="69" spans="1:4" ht="66.75" customHeight="1">
      <c r="A69" s="68">
        <v>182</v>
      </c>
      <c r="B69" s="68" t="s">
        <v>602</v>
      </c>
      <c r="C69" s="69" t="s">
        <v>603</v>
      </c>
      <c r="D69" s="71">
        <v>103559.7</v>
      </c>
    </row>
    <row r="70" spans="1:4" ht="45" customHeight="1">
      <c r="A70" s="68">
        <v>182</v>
      </c>
      <c r="B70" s="68" t="s">
        <v>604</v>
      </c>
      <c r="C70" s="69" t="s">
        <v>605</v>
      </c>
      <c r="D70" s="71">
        <v>485</v>
      </c>
    </row>
    <row r="71" spans="1:4" ht="63">
      <c r="A71" s="68">
        <v>182</v>
      </c>
      <c r="B71" s="68" t="s">
        <v>606</v>
      </c>
      <c r="C71" s="69" t="s">
        <v>607</v>
      </c>
      <c r="D71" s="71">
        <v>32.7</v>
      </c>
    </row>
    <row r="72" spans="1:4" ht="63.75" customHeight="1">
      <c r="A72" s="68">
        <v>182</v>
      </c>
      <c r="B72" s="68" t="s">
        <v>610</v>
      </c>
      <c r="C72" s="69" t="s">
        <v>611</v>
      </c>
      <c r="D72" s="71">
        <v>21859.4</v>
      </c>
    </row>
    <row r="73" spans="1:4" ht="46.5" customHeight="1">
      <c r="A73" s="68">
        <v>182</v>
      </c>
      <c r="B73" s="68" t="s">
        <v>612</v>
      </c>
      <c r="C73" s="69" t="s">
        <v>613</v>
      </c>
      <c r="D73" s="71">
        <v>296.4</v>
      </c>
    </row>
    <row r="74" spans="1:4" ht="62.25" customHeight="1">
      <c r="A74" s="68">
        <v>182</v>
      </c>
      <c r="B74" s="68" t="s">
        <v>614</v>
      </c>
      <c r="C74" s="69" t="s">
        <v>750</v>
      </c>
      <c r="D74" s="71">
        <v>-1.1</v>
      </c>
    </row>
    <row r="75" spans="1:4" ht="63">
      <c r="A75" s="68">
        <v>182</v>
      </c>
      <c r="B75" s="68" t="s">
        <v>618</v>
      </c>
      <c r="C75" s="69" t="s">
        <v>751</v>
      </c>
      <c r="D75" s="71">
        <v>12317.8</v>
      </c>
    </row>
    <row r="76" spans="1:4" ht="95.25" customHeight="1">
      <c r="A76" s="68">
        <v>182</v>
      </c>
      <c r="B76" s="68" t="s">
        <v>672</v>
      </c>
      <c r="C76" s="89" t="s">
        <v>838</v>
      </c>
      <c r="D76" s="71">
        <v>270.6</v>
      </c>
    </row>
    <row r="77" spans="1:4" ht="78.75">
      <c r="A77" s="68">
        <v>182</v>
      </c>
      <c r="B77" s="68" t="s">
        <v>673</v>
      </c>
      <c r="C77" s="69" t="s">
        <v>674</v>
      </c>
      <c r="D77" s="71">
        <v>97.6</v>
      </c>
    </row>
    <row r="78" spans="1:4" ht="78.75">
      <c r="A78" s="68">
        <v>182</v>
      </c>
      <c r="B78" s="68" t="s">
        <v>675</v>
      </c>
      <c r="C78" s="69" t="s">
        <v>676</v>
      </c>
      <c r="D78" s="71">
        <v>92</v>
      </c>
    </row>
    <row r="79" spans="1:4" ht="24" customHeight="1">
      <c r="A79" s="75">
        <v>188</v>
      </c>
      <c r="B79" s="75"/>
      <c r="C79" s="86" t="s">
        <v>752</v>
      </c>
      <c r="D79" s="65">
        <f>D80+D81+D82+D83+D84+D85+D86</f>
        <v>3824.4</v>
      </c>
    </row>
    <row r="80" spans="1:4" ht="80.25" customHeight="1">
      <c r="A80" s="68">
        <v>188</v>
      </c>
      <c r="B80" s="68" t="s">
        <v>742</v>
      </c>
      <c r="C80" s="69" t="s">
        <v>753</v>
      </c>
      <c r="D80" s="71">
        <v>404.7</v>
      </c>
    </row>
    <row r="81" spans="1:4" ht="78.75">
      <c r="A81" s="68">
        <v>188</v>
      </c>
      <c r="B81" s="68" t="s">
        <v>754</v>
      </c>
      <c r="C81" s="69" t="s">
        <v>681</v>
      </c>
      <c r="D81" s="71">
        <v>1.9</v>
      </c>
    </row>
    <row r="82" spans="1:4" ht="63">
      <c r="A82" s="68">
        <v>188</v>
      </c>
      <c r="B82" s="68" t="s">
        <v>1061</v>
      </c>
      <c r="C82" s="69" t="s">
        <v>1062</v>
      </c>
      <c r="D82" s="71">
        <v>30</v>
      </c>
    </row>
    <row r="83" spans="1:4" ht="78.75">
      <c r="A83" s="68">
        <v>188</v>
      </c>
      <c r="B83" s="68" t="s">
        <v>686</v>
      </c>
      <c r="C83" s="69" t="s">
        <v>743</v>
      </c>
      <c r="D83" s="71">
        <v>36</v>
      </c>
    </row>
    <row r="84" spans="1:4" ht="49.5" customHeight="1">
      <c r="A84" s="68">
        <v>188</v>
      </c>
      <c r="B84" s="68" t="s">
        <v>688</v>
      </c>
      <c r="C84" s="69" t="s">
        <v>689</v>
      </c>
      <c r="D84" s="71">
        <v>18</v>
      </c>
    </row>
    <row r="85" spans="1:4" ht="78.75">
      <c r="A85" s="68">
        <v>188</v>
      </c>
      <c r="B85" s="68" t="s">
        <v>692</v>
      </c>
      <c r="C85" s="69" t="s">
        <v>693</v>
      </c>
      <c r="D85" s="71">
        <v>183.9</v>
      </c>
    </row>
    <row r="86" spans="1:4" ht="63">
      <c r="A86" s="68">
        <v>188</v>
      </c>
      <c r="B86" s="68" t="s">
        <v>702</v>
      </c>
      <c r="C86" s="69" t="s">
        <v>703</v>
      </c>
      <c r="D86" s="71">
        <v>3149.9</v>
      </c>
    </row>
    <row r="87" spans="1:4" ht="33.75" customHeight="1">
      <c r="A87" s="75">
        <v>321</v>
      </c>
      <c r="B87" s="75"/>
      <c r="C87" s="86" t="s">
        <v>755</v>
      </c>
      <c r="D87" s="65">
        <f>D88</f>
        <v>118.5</v>
      </c>
    </row>
    <row r="88" spans="1:4" ht="48" customHeight="1">
      <c r="A88" s="68">
        <v>321</v>
      </c>
      <c r="B88" s="68" t="s">
        <v>684</v>
      </c>
      <c r="C88" s="69" t="s">
        <v>685</v>
      </c>
      <c r="D88" s="71">
        <v>118.5</v>
      </c>
    </row>
    <row r="89" spans="1:4" ht="31.5">
      <c r="A89" s="75">
        <v>498</v>
      </c>
      <c r="B89" s="75"/>
      <c r="C89" s="86" t="s">
        <v>756</v>
      </c>
      <c r="D89" s="65">
        <f>D90</f>
        <v>614</v>
      </c>
    </row>
    <row r="90" spans="1:4" ht="63">
      <c r="A90" s="68">
        <v>498</v>
      </c>
      <c r="B90" s="68" t="s">
        <v>694</v>
      </c>
      <c r="C90" s="89" t="s">
        <v>695</v>
      </c>
      <c r="D90" s="71">
        <v>614</v>
      </c>
    </row>
    <row r="91" spans="1:4" ht="31.5">
      <c r="A91" s="75">
        <v>621</v>
      </c>
      <c r="B91" s="75"/>
      <c r="C91" s="217" t="s">
        <v>1063</v>
      </c>
      <c r="D91" s="65">
        <f>D92</f>
        <v>161.4</v>
      </c>
    </row>
    <row r="92" spans="1:4" ht="15.75">
      <c r="A92" s="68">
        <v>621</v>
      </c>
      <c r="B92" s="68" t="s">
        <v>658</v>
      </c>
      <c r="C92" s="69" t="s">
        <v>659</v>
      </c>
      <c r="D92" s="71">
        <v>161.4</v>
      </c>
    </row>
    <row r="93" spans="1:4" ht="31.5">
      <c r="A93" s="75">
        <v>622</v>
      </c>
      <c r="B93" s="75"/>
      <c r="C93" s="86" t="s">
        <v>12</v>
      </c>
      <c r="D93" s="65">
        <f>D94+D95+D96+D97+D98+D99+D100+D101+D102+D103+D104+D105+D106+D107+D108+D109+D110+D111+D112+D113+D114+D115+D116+D117+D118+D119+D120+D121+D122</f>
        <v>423834.30000000005</v>
      </c>
    </row>
    <row r="94" spans="1:4" ht="94.5">
      <c r="A94" s="68">
        <v>622</v>
      </c>
      <c r="B94" s="68" t="s">
        <v>626</v>
      </c>
      <c r="C94" s="73" t="s">
        <v>627</v>
      </c>
      <c r="D94" s="71">
        <v>574.4</v>
      </c>
    </row>
    <row r="95" spans="1:4" ht="93.75" customHeight="1">
      <c r="A95" s="68">
        <v>622</v>
      </c>
      <c r="B95" s="68" t="s">
        <v>636</v>
      </c>
      <c r="C95" s="69" t="s">
        <v>637</v>
      </c>
      <c r="D95" s="71">
        <v>3.5</v>
      </c>
    </row>
    <row r="96" spans="1:4" ht="63">
      <c r="A96" s="68">
        <v>622</v>
      </c>
      <c r="B96" s="68" t="s">
        <v>640</v>
      </c>
      <c r="C96" s="69" t="s">
        <v>641</v>
      </c>
      <c r="D96" s="71">
        <v>7332.2</v>
      </c>
    </row>
    <row r="97" spans="1:4" ht="36.75" customHeight="1">
      <c r="A97" s="68">
        <v>622</v>
      </c>
      <c r="B97" s="68" t="s">
        <v>652</v>
      </c>
      <c r="C97" s="69" t="s">
        <v>653</v>
      </c>
      <c r="D97" s="71">
        <v>1599.5</v>
      </c>
    </row>
    <row r="98" spans="1:4" ht="36.75" customHeight="1">
      <c r="A98" s="68">
        <v>622</v>
      </c>
      <c r="B98" s="68" t="s">
        <v>656</v>
      </c>
      <c r="C98" s="69" t="s">
        <v>657</v>
      </c>
      <c r="D98" s="71">
        <v>774.1</v>
      </c>
    </row>
    <row r="99" spans="1:6" ht="21.75" customHeight="1">
      <c r="A99" s="68">
        <v>622</v>
      </c>
      <c r="B99" s="68" t="s">
        <v>658</v>
      </c>
      <c r="C99" s="69" t="s">
        <v>659</v>
      </c>
      <c r="D99" s="71">
        <v>3886.5</v>
      </c>
      <c r="F99" s="103"/>
    </row>
    <row r="100" spans="1:6" ht="42" customHeight="1">
      <c r="A100" s="68">
        <v>622</v>
      </c>
      <c r="B100" s="68" t="s">
        <v>757</v>
      </c>
      <c r="C100" s="69" t="s">
        <v>758</v>
      </c>
      <c r="D100" s="71">
        <v>2045</v>
      </c>
      <c r="F100" s="103"/>
    </row>
    <row r="101" spans="1:4" ht="31.5">
      <c r="A101" s="68">
        <v>622</v>
      </c>
      <c r="B101" s="68" t="s">
        <v>696</v>
      </c>
      <c r="C101" s="69" t="s">
        <v>759</v>
      </c>
      <c r="D101" s="71">
        <v>3349.6</v>
      </c>
    </row>
    <row r="102" spans="1:4" ht="63">
      <c r="A102" s="68">
        <v>622</v>
      </c>
      <c r="B102" s="68" t="s">
        <v>698</v>
      </c>
      <c r="C102" s="69" t="s">
        <v>699</v>
      </c>
      <c r="D102" s="71">
        <v>2898.8</v>
      </c>
    </row>
    <row r="103" spans="1:4" ht="63">
      <c r="A103" s="68">
        <v>622</v>
      </c>
      <c r="B103" s="68" t="s">
        <v>700</v>
      </c>
      <c r="C103" s="69" t="s">
        <v>701</v>
      </c>
      <c r="D103" s="71">
        <v>1855.1</v>
      </c>
    </row>
    <row r="104" spans="1:4" ht="15.75">
      <c r="A104" s="68">
        <v>622</v>
      </c>
      <c r="B104" s="68" t="s">
        <v>839</v>
      </c>
      <c r="C104" s="69" t="s">
        <v>840</v>
      </c>
      <c r="D104" s="71">
        <v>-8.6</v>
      </c>
    </row>
    <row r="105" spans="1:4" ht="15.75">
      <c r="A105" s="68">
        <v>622</v>
      </c>
      <c r="B105" s="68" t="s">
        <v>707</v>
      </c>
      <c r="C105" s="69" t="s">
        <v>708</v>
      </c>
      <c r="D105" s="71">
        <v>22.1</v>
      </c>
    </row>
    <row r="106" spans="1:4" ht="31.5">
      <c r="A106" s="68">
        <v>622</v>
      </c>
      <c r="B106" s="68" t="s">
        <v>879</v>
      </c>
      <c r="C106" s="69" t="s">
        <v>714</v>
      </c>
      <c r="D106" s="71">
        <v>193927</v>
      </c>
    </row>
    <row r="107" spans="1:4" ht="51" customHeight="1">
      <c r="A107" s="68">
        <v>622</v>
      </c>
      <c r="B107" s="68" t="s">
        <v>841</v>
      </c>
      <c r="C107" s="69" t="s">
        <v>842</v>
      </c>
      <c r="D107" s="71">
        <v>28111.2</v>
      </c>
    </row>
    <row r="108" spans="1:4" ht="35.25" customHeight="1">
      <c r="A108" s="68">
        <v>622</v>
      </c>
      <c r="B108" s="68" t="s">
        <v>1064</v>
      </c>
      <c r="C108" s="69" t="s">
        <v>1065</v>
      </c>
      <c r="D108" s="71">
        <v>4231.7</v>
      </c>
    </row>
    <row r="109" spans="1:4" ht="21" customHeight="1">
      <c r="A109" s="68">
        <v>622</v>
      </c>
      <c r="B109" s="68" t="s">
        <v>843</v>
      </c>
      <c r="C109" s="69" t="s">
        <v>715</v>
      </c>
      <c r="D109" s="71">
        <v>142027.5</v>
      </c>
    </row>
    <row r="110" spans="1:4" ht="31.5">
      <c r="A110" s="68">
        <v>622</v>
      </c>
      <c r="B110" s="68" t="s">
        <v>844</v>
      </c>
      <c r="C110" s="69" t="s">
        <v>717</v>
      </c>
      <c r="D110" s="71">
        <v>5911.4</v>
      </c>
    </row>
    <row r="111" spans="1:4" ht="47.25">
      <c r="A111" s="68">
        <v>622</v>
      </c>
      <c r="B111" s="68" t="s">
        <v>845</v>
      </c>
      <c r="C111" s="69" t="s">
        <v>846</v>
      </c>
      <c r="D111" s="71">
        <v>14459.9</v>
      </c>
    </row>
    <row r="112" spans="1:4" ht="47.25">
      <c r="A112" s="68">
        <v>622</v>
      </c>
      <c r="B112" s="68" t="s">
        <v>1066</v>
      </c>
      <c r="C112" s="69" t="s">
        <v>1067</v>
      </c>
      <c r="D112" s="71">
        <v>476.3</v>
      </c>
    </row>
    <row r="113" spans="1:4" ht="47.25">
      <c r="A113" s="68">
        <v>622</v>
      </c>
      <c r="B113" s="68" t="s">
        <v>847</v>
      </c>
      <c r="C113" s="69" t="s">
        <v>1068</v>
      </c>
      <c r="D113" s="71">
        <v>729.2</v>
      </c>
    </row>
    <row r="114" spans="1:4" ht="63">
      <c r="A114" s="68">
        <v>622</v>
      </c>
      <c r="B114" s="68" t="s">
        <v>1069</v>
      </c>
      <c r="C114" s="69" t="s">
        <v>1070</v>
      </c>
      <c r="D114" s="71">
        <v>2187.4</v>
      </c>
    </row>
    <row r="115" spans="1:4" ht="31.5">
      <c r="A115" s="68">
        <v>622</v>
      </c>
      <c r="B115" s="68" t="s">
        <v>882</v>
      </c>
      <c r="C115" s="69" t="s">
        <v>716</v>
      </c>
      <c r="D115" s="71">
        <v>3807.3</v>
      </c>
    </row>
    <row r="116" spans="1:4" ht="15.75">
      <c r="A116" s="68">
        <v>622</v>
      </c>
      <c r="B116" s="68" t="s">
        <v>848</v>
      </c>
      <c r="C116" s="69" t="s">
        <v>849</v>
      </c>
      <c r="D116" s="71">
        <v>68.7</v>
      </c>
    </row>
    <row r="117" spans="1:4" ht="18.75" customHeight="1">
      <c r="A117" s="68">
        <v>622</v>
      </c>
      <c r="B117" s="68" t="s">
        <v>850</v>
      </c>
      <c r="C117" s="69" t="s">
        <v>720</v>
      </c>
      <c r="D117" s="71">
        <v>5434</v>
      </c>
    </row>
    <row r="118" spans="1:4" ht="18.75" customHeight="1">
      <c r="A118" s="68">
        <v>622</v>
      </c>
      <c r="B118" s="68" t="s">
        <v>723</v>
      </c>
      <c r="C118" s="69" t="s">
        <v>722</v>
      </c>
      <c r="D118" s="71">
        <v>312.1</v>
      </c>
    </row>
    <row r="119" spans="1:4" ht="30" customHeight="1">
      <c r="A119" s="68">
        <v>622</v>
      </c>
      <c r="B119" s="68" t="s">
        <v>726</v>
      </c>
      <c r="C119" s="69" t="s">
        <v>727</v>
      </c>
      <c r="D119" s="71">
        <v>49.3</v>
      </c>
    </row>
    <row r="120" spans="1:4" ht="47.25" customHeight="1">
      <c r="A120" s="68">
        <v>622</v>
      </c>
      <c r="B120" s="68" t="s">
        <v>1071</v>
      </c>
      <c r="C120" s="69" t="s">
        <v>1072</v>
      </c>
      <c r="D120" s="71">
        <v>-694.7</v>
      </c>
    </row>
    <row r="121" spans="1:4" ht="35.25" customHeight="1">
      <c r="A121" s="68">
        <v>622</v>
      </c>
      <c r="B121" s="68" t="s">
        <v>1073</v>
      </c>
      <c r="C121" s="69" t="s">
        <v>1074</v>
      </c>
      <c r="D121" s="71">
        <v>-52.4</v>
      </c>
    </row>
    <row r="122" spans="1:4" ht="47.25">
      <c r="A122" s="68">
        <v>622</v>
      </c>
      <c r="B122" s="68" t="s">
        <v>851</v>
      </c>
      <c r="C122" s="69" t="s">
        <v>852</v>
      </c>
      <c r="D122" s="71">
        <v>-1483.8</v>
      </c>
    </row>
    <row r="123" spans="1:4" ht="31.5">
      <c r="A123" s="75">
        <v>623</v>
      </c>
      <c r="B123" s="75"/>
      <c r="C123" s="86" t="s">
        <v>760</v>
      </c>
      <c r="D123" s="65">
        <f>D124+D125</f>
        <v>50.4</v>
      </c>
    </row>
    <row r="124" spans="1:4" ht="31.5">
      <c r="A124" s="68">
        <v>623</v>
      </c>
      <c r="B124" s="68" t="s">
        <v>656</v>
      </c>
      <c r="C124" s="69" t="s">
        <v>657</v>
      </c>
      <c r="D124" s="71">
        <v>35.8</v>
      </c>
    </row>
    <row r="125" spans="1:4" ht="15.75">
      <c r="A125" s="68">
        <v>623</v>
      </c>
      <c r="B125" s="68" t="s">
        <v>658</v>
      </c>
      <c r="C125" s="69" t="s">
        <v>659</v>
      </c>
      <c r="D125" s="71">
        <v>14.6</v>
      </c>
    </row>
    <row r="126" spans="1:4" ht="22.5" customHeight="1">
      <c r="A126" s="75">
        <v>624</v>
      </c>
      <c r="B126" s="75"/>
      <c r="C126" s="86" t="s">
        <v>761</v>
      </c>
      <c r="D126" s="65">
        <f>D127+D128+D129+D130+D131+D132+D133+D134+D135+D136+D137+D138+D139+D140+D141</f>
        <v>78733.79999999999</v>
      </c>
    </row>
    <row r="127" spans="1:4" ht="52.5" customHeight="1">
      <c r="A127" s="68">
        <v>624</v>
      </c>
      <c r="B127" s="68" t="s">
        <v>622</v>
      </c>
      <c r="C127" s="69" t="s">
        <v>623</v>
      </c>
      <c r="D127" s="71">
        <v>155</v>
      </c>
    </row>
    <row r="128" spans="1:4" ht="63">
      <c r="A128" s="68">
        <v>624</v>
      </c>
      <c r="B128" s="68" t="s">
        <v>630</v>
      </c>
      <c r="C128" s="73" t="s">
        <v>631</v>
      </c>
      <c r="D128" s="71">
        <v>30203.5</v>
      </c>
    </row>
    <row r="129" spans="1:4" ht="63">
      <c r="A129" s="104">
        <v>624</v>
      </c>
      <c r="B129" s="68" t="s">
        <v>632</v>
      </c>
      <c r="C129" s="69" t="s">
        <v>633</v>
      </c>
      <c r="D129" s="71">
        <v>6916.9</v>
      </c>
    </row>
    <row r="130" spans="1:4" ht="48.75" customHeight="1">
      <c r="A130" s="68">
        <v>624</v>
      </c>
      <c r="B130" s="68" t="s">
        <v>634</v>
      </c>
      <c r="C130" s="69" t="s">
        <v>635</v>
      </c>
      <c r="D130" s="71">
        <v>8066.6</v>
      </c>
    </row>
    <row r="131" spans="1:4" ht="81" customHeight="1">
      <c r="A131" s="68">
        <v>624</v>
      </c>
      <c r="B131" s="68" t="s">
        <v>636</v>
      </c>
      <c r="C131" s="69" t="s">
        <v>637</v>
      </c>
      <c r="D131" s="71">
        <v>86.6</v>
      </c>
    </row>
    <row r="132" spans="1:4" ht="51" customHeight="1">
      <c r="A132" s="68">
        <v>624</v>
      </c>
      <c r="B132" s="68" t="s">
        <v>638</v>
      </c>
      <c r="C132" s="69" t="s">
        <v>639</v>
      </c>
      <c r="D132" s="71">
        <v>2884.4</v>
      </c>
    </row>
    <row r="133" spans="1:4" ht="51" customHeight="1">
      <c r="A133" s="68">
        <v>624</v>
      </c>
      <c r="B133" s="68" t="s">
        <v>650</v>
      </c>
      <c r="C133" s="69" t="s">
        <v>651</v>
      </c>
      <c r="D133" s="71">
        <v>539.6</v>
      </c>
    </row>
    <row r="134" spans="1:4" ht="18" customHeight="1">
      <c r="A134" s="68">
        <v>624</v>
      </c>
      <c r="B134" s="68" t="s">
        <v>658</v>
      </c>
      <c r="C134" s="69" t="s">
        <v>659</v>
      </c>
      <c r="D134" s="71">
        <v>112.5</v>
      </c>
    </row>
    <row r="135" spans="1:4" ht="69" customHeight="1">
      <c r="A135" s="68">
        <v>624</v>
      </c>
      <c r="B135" s="68" t="s">
        <v>853</v>
      </c>
      <c r="C135" s="69" t="s">
        <v>854</v>
      </c>
      <c r="D135" s="71">
        <v>785.8</v>
      </c>
    </row>
    <row r="136" spans="1:4" ht="81" customHeight="1">
      <c r="A136" s="68">
        <v>624</v>
      </c>
      <c r="B136" s="68" t="s">
        <v>662</v>
      </c>
      <c r="C136" s="69" t="s">
        <v>855</v>
      </c>
      <c r="D136" s="71">
        <v>42.9</v>
      </c>
    </row>
    <row r="137" spans="1:4" ht="65.25" customHeight="1">
      <c r="A137" s="68">
        <v>624</v>
      </c>
      <c r="B137" s="68" t="s">
        <v>664</v>
      </c>
      <c r="C137" s="69" t="s">
        <v>665</v>
      </c>
      <c r="D137" s="71">
        <v>10593.1</v>
      </c>
    </row>
    <row r="138" spans="1:4" ht="34.5" customHeight="1">
      <c r="A138" s="68">
        <v>624</v>
      </c>
      <c r="B138" s="68" t="s">
        <v>666</v>
      </c>
      <c r="C138" s="69" t="s">
        <v>667</v>
      </c>
      <c r="D138" s="71">
        <v>14304</v>
      </c>
    </row>
    <row r="139" spans="1:4" ht="47.25">
      <c r="A139" s="68">
        <v>624</v>
      </c>
      <c r="B139" s="68" t="s">
        <v>668</v>
      </c>
      <c r="C139" s="69" t="s">
        <v>669</v>
      </c>
      <c r="D139" s="71">
        <v>3298.7</v>
      </c>
    </row>
    <row r="140" spans="1:4" ht="15.75">
      <c r="A140" s="68">
        <v>624</v>
      </c>
      <c r="B140" s="68" t="s">
        <v>839</v>
      </c>
      <c r="C140" s="69" t="s">
        <v>840</v>
      </c>
      <c r="D140" s="71">
        <v>-2.1</v>
      </c>
    </row>
    <row r="141" spans="1:4" ht="15.75">
      <c r="A141" s="68">
        <v>624</v>
      </c>
      <c r="B141" s="68" t="s">
        <v>707</v>
      </c>
      <c r="C141" s="69" t="s">
        <v>708</v>
      </c>
      <c r="D141" s="71">
        <v>746.3</v>
      </c>
    </row>
    <row r="142" spans="1:4" ht="26.25" customHeight="1">
      <c r="A142" s="75">
        <v>629</v>
      </c>
      <c r="B142" s="75"/>
      <c r="C142" s="86" t="s">
        <v>13</v>
      </c>
      <c r="D142" s="65">
        <f>D143+D144+D145+D146+D147+D148+D149+D150+D151</f>
        <v>940864.7000000001</v>
      </c>
    </row>
    <row r="143" spans="1:4" ht="18.75" customHeight="1">
      <c r="A143" s="68">
        <v>629</v>
      </c>
      <c r="B143" s="68" t="s">
        <v>658</v>
      </c>
      <c r="C143" s="69" t="s">
        <v>659</v>
      </c>
      <c r="D143" s="71">
        <v>327.8</v>
      </c>
    </row>
    <row r="144" spans="1:4" ht="50.25" customHeight="1">
      <c r="A144" s="68">
        <v>629</v>
      </c>
      <c r="B144" s="68" t="s">
        <v>690</v>
      </c>
      <c r="C144" s="69" t="s">
        <v>691</v>
      </c>
      <c r="D144" s="71">
        <v>232.5</v>
      </c>
    </row>
    <row r="145" spans="1:4" ht="28.5" customHeight="1">
      <c r="A145" s="68">
        <v>629</v>
      </c>
      <c r="B145" s="68" t="s">
        <v>696</v>
      </c>
      <c r="C145" s="69" t="s">
        <v>759</v>
      </c>
      <c r="D145" s="71">
        <v>10.1</v>
      </c>
    </row>
    <row r="146" spans="1:4" ht="15.75">
      <c r="A146" s="68">
        <v>629</v>
      </c>
      <c r="B146" s="68" t="s">
        <v>856</v>
      </c>
      <c r="C146" s="69" t="s">
        <v>715</v>
      </c>
      <c r="D146" s="71">
        <v>10458.2</v>
      </c>
    </row>
    <row r="147" spans="1:4" ht="31.5">
      <c r="A147" s="68">
        <v>629</v>
      </c>
      <c r="B147" s="68" t="s">
        <v>844</v>
      </c>
      <c r="C147" s="69" t="s">
        <v>717</v>
      </c>
      <c r="D147" s="71">
        <v>924618.4</v>
      </c>
    </row>
    <row r="148" spans="1:4" ht="18" customHeight="1">
      <c r="A148" s="68">
        <v>629</v>
      </c>
      <c r="B148" s="68" t="s">
        <v>850</v>
      </c>
      <c r="C148" s="69" t="s">
        <v>720</v>
      </c>
      <c r="D148" s="71">
        <v>2669.9</v>
      </c>
    </row>
    <row r="149" spans="1:4" ht="31.5">
      <c r="A149" s="68">
        <v>629</v>
      </c>
      <c r="B149" s="68" t="s">
        <v>726</v>
      </c>
      <c r="C149" s="69" t="s">
        <v>727</v>
      </c>
      <c r="D149" s="71">
        <v>195.3</v>
      </c>
    </row>
    <row r="150" spans="1:4" ht="31.5">
      <c r="A150" s="68">
        <v>629</v>
      </c>
      <c r="B150" s="68" t="s">
        <v>728</v>
      </c>
      <c r="C150" s="69" t="s">
        <v>762</v>
      </c>
      <c r="D150" s="71">
        <v>4600.5</v>
      </c>
    </row>
    <row r="151" spans="1:4" ht="47.25">
      <c r="A151" s="68">
        <v>629</v>
      </c>
      <c r="B151" s="68" t="s">
        <v>851</v>
      </c>
      <c r="C151" s="69" t="s">
        <v>852</v>
      </c>
      <c r="D151" s="71">
        <v>-2248</v>
      </c>
    </row>
    <row r="152" spans="1:4" ht="25.5" customHeight="1">
      <c r="A152" s="75">
        <v>631</v>
      </c>
      <c r="B152" s="75"/>
      <c r="C152" s="86" t="s">
        <v>14</v>
      </c>
      <c r="D152" s="65">
        <f>D153+D154+D155+D156+D157+D158</f>
        <v>21627.300000000003</v>
      </c>
    </row>
    <row r="153" spans="1:4" ht="30.75" customHeight="1">
      <c r="A153" s="68">
        <v>631</v>
      </c>
      <c r="B153" s="68" t="s">
        <v>1075</v>
      </c>
      <c r="C153" s="69" t="s">
        <v>1076</v>
      </c>
      <c r="D153" s="71">
        <v>12774.7</v>
      </c>
    </row>
    <row r="154" spans="1:4" ht="18" customHeight="1">
      <c r="A154" s="68">
        <v>631</v>
      </c>
      <c r="B154" s="68" t="s">
        <v>857</v>
      </c>
      <c r="C154" s="69" t="s">
        <v>858</v>
      </c>
      <c r="D154" s="71">
        <v>50</v>
      </c>
    </row>
    <row r="155" spans="1:4" ht="15.75">
      <c r="A155" s="68">
        <v>631</v>
      </c>
      <c r="B155" s="68" t="s">
        <v>856</v>
      </c>
      <c r="C155" s="69" t="s">
        <v>715</v>
      </c>
      <c r="D155" s="71">
        <v>41.2</v>
      </c>
    </row>
    <row r="156" spans="1:4" ht="17.25" customHeight="1">
      <c r="A156" s="68">
        <v>631</v>
      </c>
      <c r="B156" s="68" t="s">
        <v>850</v>
      </c>
      <c r="C156" s="69" t="s">
        <v>720</v>
      </c>
      <c r="D156" s="71">
        <v>8781.2</v>
      </c>
    </row>
    <row r="157" spans="1:4" ht="48" customHeight="1">
      <c r="A157" s="68">
        <v>631</v>
      </c>
      <c r="B157" s="68" t="s">
        <v>859</v>
      </c>
      <c r="C157" s="149" t="s">
        <v>860</v>
      </c>
      <c r="D157" s="71">
        <v>-8.6</v>
      </c>
    </row>
    <row r="158" spans="1:4" ht="47.25">
      <c r="A158" s="68">
        <v>631</v>
      </c>
      <c r="B158" s="68" t="s">
        <v>851</v>
      </c>
      <c r="C158" s="69" t="s">
        <v>852</v>
      </c>
      <c r="D158" s="71">
        <v>-11.2</v>
      </c>
    </row>
    <row r="159" spans="1:4" ht="31.5">
      <c r="A159" s="75">
        <v>633</v>
      </c>
      <c r="B159" s="75"/>
      <c r="C159" s="86" t="s">
        <v>15</v>
      </c>
      <c r="D159" s="65">
        <f>D160+D161+D162+D163</f>
        <v>26.300000000000008</v>
      </c>
    </row>
    <row r="160" spans="1:4" ht="15.75">
      <c r="A160" s="68">
        <v>633</v>
      </c>
      <c r="B160" s="68" t="s">
        <v>658</v>
      </c>
      <c r="C160" s="69" t="s">
        <v>659</v>
      </c>
      <c r="D160" s="71">
        <v>77.9</v>
      </c>
    </row>
    <row r="161" spans="1:4" ht="15.75">
      <c r="A161" s="68">
        <v>633</v>
      </c>
      <c r="B161" s="68" t="s">
        <v>839</v>
      </c>
      <c r="C161" s="69" t="s">
        <v>840</v>
      </c>
      <c r="D161" s="71">
        <v>-72.8</v>
      </c>
    </row>
    <row r="162" spans="1:4" ht="19.5" customHeight="1">
      <c r="A162" s="68">
        <v>633</v>
      </c>
      <c r="B162" s="68" t="s">
        <v>856</v>
      </c>
      <c r="C162" s="69" t="s">
        <v>715</v>
      </c>
      <c r="D162" s="71">
        <v>18</v>
      </c>
    </row>
    <row r="163" spans="1:4" ht="30.75" customHeight="1">
      <c r="A163" s="68">
        <v>633</v>
      </c>
      <c r="B163" s="68" t="s">
        <v>728</v>
      </c>
      <c r="C163" s="69" t="s">
        <v>762</v>
      </c>
      <c r="D163" s="71">
        <v>3.2</v>
      </c>
    </row>
    <row r="164" spans="1:4" ht="23.25" customHeight="1">
      <c r="A164" s="75">
        <v>670</v>
      </c>
      <c r="B164" s="75"/>
      <c r="C164" s="86" t="s">
        <v>763</v>
      </c>
      <c r="D164" s="65">
        <f>D165+D166+D167+D168</f>
        <v>76430.1</v>
      </c>
    </row>
    <row r="165" spans="1:4" ht="15.75">
      <c r="A165" s="68">
        <v>670</v>
      </c>
      <c r="B165" s="68" t="s">
        <v>658</v>
      </c>
      <c r="C165" s="69" t="s">
        <v>659</v>
      </c>
      <c r="D165" s="71">
        <v>190.8</v>
      </c>
    </row>
    <row r="166" spans="1:4" ht="31.5">
      <c r="A166" s="68">
        <v>670</v>
      </c>
      <c r="B166" s="68" t="s">
        <v>861</v>
      </c>
      <c r="C166" s="69" t="s">
        <v>713</v>
      </c>
      <c r="D166" s="71">
        <v>71612.3</v>
      </c>
    </row>
    <row r="167" spans="1:4" ht="31.5">
      <c r="A167" s="68">
        <v>670</v>
      </c>
      <c r="B167" s="68" t="s">
        <v>1077</v>
      </c>
      <c r="C167" s="69" t="s">
        <v>1078</v>
      </c>
      <c r="D167" s="71">
        <v>4538</v>
      </c>
    </row>
    <row r="168" spans="1:4" ht="31.5">
      <c r="A168" s="68">
        <v>670</v>
      </c>
      <c r="B168" s="68" t="s">
        <v>844</v>
      </c>
      <c r="C168" s="69" t="s">
        <v>717</v>
      </c>
      <c r="D168" s="71">
        <v>89</v>
      </c>
    </row>
    <row r="169" spans="1:4" ht="31.5">
      <c r="A169" s="75">
        <v>815</v>
      </c>
      <c r="B169" s="75"/>
      <c r="C169" s="86" t="s">
        <v>862</v>
      </c>
      <c r="D169" s="65">
        <f>D170</f>
        <v>441.6</v>
      </c>
    </row>
    <row r="170" spans="1:4" ht="31.5">
      <c r="A170" s="68">
        <v>815</v>
      </c>
      <c r="B170" s="68" t="s">
        <v>696</v>
      </c>
      <c r="C170" s="69" t="s">
        <v>759</v>
      </c>
      <c r="D170" s="71">
        <v>441.6</v>
      </c>
    </row>
    <row r="171" spans="1:4" ht="31.5">
      <c r="A171" s="75">
        <v>816</v>
      </c>
      <c r="B171" s="75"/>
      <c r="C171" s="86" t="s">
        <v>1079</v>
      </c>
      <c r="D171" s="65">
        <f>D172+D173</f>
        <v>9.9</v>
      </c>
    </row>
    <row r="172" spans="1:4" ht="31.5">
      <c r="A172" s="68">
        <v>816</v>
      </c>
      <c r="B172" s="68" t="s">
        <v>863</v>
      </c>
      <c r="C172" s="69" t="s">
        <v>864</v>
      </c>
      <c r="D172" s="71">
        <v>4.9</v>
      </c>
    </row>
    <row r="173" spans="1:4" ht="47.25">
      <c r="A173" s="68">
        <v>816</v>
      </c>
      <c r="B173" s="68" t="s">
        <v>1080</v>
      </c>
      <c r="C173" s="69" t="s">
        <v>1081</v>
      </c>
      <c r="D173" s="71">
        <v>5</v>
      </c>
    </row>
    <row r="174" spans="1:4" ht="31.5">
      <c r="A174" s="75">
        <v>826</v>
      </c>
      <c r="B174" s="75"/>
      <c r="C174" s="86" t="s">
        <v>1082</v>
      </c>
      <c r="D174" s="65">
        <f>D175</f>
        <v>250</v>
      </c>
    </row>
    <row r="175" spans="1:4" ht="31.5">
      <c r="A175" s="68">
        <v>826</v>
      </c>
      <c r="B175" s="68" t="s">
        <v>696</v>
      </c>
      <c r="C175" s="69" t="s">
        <v>759</v>
      </c>
      <c r="D175" s="71">
        <v>250</v>
      </c>
    </row>
    <row r="176" spans="1:4" ht="15.75">
      <c r="A176" s="75">
        <v>830</v>
      </c>
      <c r="B176" s="75"/>
      <c r="C176" s="86" t="s">
        <v>1083</v>
      </c>
      <c r="D176" s="65">
        <f>D177</f>
        <v>550</v>
      </c>
    </row>
    <row r="177" spans="1:4" ht="31.5">
      <c r="A177" s="68">
        <v>830</v>
      </c>
      <c r="B177" s="68" t="s">
        <v>696</v>
      </c>
      <c r="C177" s="69" t="s">
        <v>759</v>
      </c>
      <c r="D177" s="71">
        <v>550</v>
      </c>
    </row>
    <row r="178" spans="1:4" ht="15.75">
      <c r="A178" s="75">
        <v>843</v>
      </c>
      <c r="B178" s="75"/>
      <c r="C178" s="86" t="s">
        <v>865</v>
      </c>
      <c r="D178" s="65">
        <f>D179+D180</f>
        <v>1063</v>
      </c>
    </row>
    <row r="179" spans="1:4" ht="47.25">
      <c r="A179" s="68">
        <v>843</v>
      </c>
      <c r="B179" s="68" t="s">
        <v>1080</v>
      </c>
      <c r="C179" s="69" t="s">
        <v>1081</v>
      </c>
      <c r="D179" s="71">
        <v>160</v>
      </c>
    </row>
    <row r="180" spans="1:4" ht="31.5">
      <c r="A180" s="68">
        <v>843</v>
      </c>
      <c r="B180" s="68" t="s">
        <v>696</v>
      </c>
      <c r="C180" s="69" t="s">
        <v>759</v>
      </c>
      <c r="D180" s="71">
        <v>903</v>
      </c>
    </row>
    <row r="181" spans="1:4" ht="23.25" customHeight="1">
      <c r="A181" s="75">
        <v>844</v>
      </c>
      <c r="B181" s="75"/>
      <c r="C181" s="86" t="s">
        <v>764</v>
      </c>
      <c r="D181" s="65">
        <f>D182</f>
        <v>1.8</v>
      </c>
    </row>
    <row r="182" spans="1:4" ht="31.5">
      <c r="A182" s="68">
        <v>844</v>
      </c>
      <c r="B182" s="68" t="s">
        <v>696</v>
      </c>
      <c r="C182" s="69" t="s">
        <v>759</v>
      </c>
      <c r="D182" s="71">
        <v>1.8</v>
      </c>
    </row>
    <row r="183" spans="1:4" ht="24.75" customHeight="1">
      <c r="A183" s="105"/>
      <c r="B183" s="68"/>
      <c r="C183" s="106" t="s">
        <v>732</v>
      </c>
      <c r="D183" s="229">
        <f>D12+D16+D21+D24+D31+D33+D36+D79+D87+D89+D91+D93+D123+D126+D142+D152+D159+D164+D169+D171+D174+D176+D178+D181</f>
        <v>2478493.1999999993</v>
      </c>
    </row>
    <row r="185" spans="3:4" ht="15.75">
      <c r="C185" s="103"/>
      <c r="D185" s="60"/>
    </row>
    <row r="186" spans="3:4" ht="15.75">
      <c r="C186" s="103"/>
      <c r="D186" s="60"/>
    </row>
    <row r="188" ht="15.75">
      <c r="D188" s="60"/>
    </row>
  </sheetData>
  <sheetProtection/>
  <mergeCells count="4">
    <mergeCell ref="A6:D6"/>
    <mergeCell ref="A9:B9"/>
    <mergeCell ref="C9:C10"/>
    <mergeCell ref="D9:D10"/>
  </mergeCells>
  <printOptions/>
  <pageMargins left="1.1811023622047245" right="0.3937007874015748" top="0.7874015748031497" bottom="0.7874015748031497" header="0.31496062992125984" footer="0.1968503937007874"/>
  <pageSetup fitToHeight="20" fitToWidth="1" horizontalDpi="600" verticalDpi="600" orientation="portrait" paperSize="9" scale="56"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F166"/>
  <sheetViews>
    <sheetView view="pageLayout" workbookViewId="0" topLeftCell="B1">
      <selection activeCell="G10" sqref="G10"/>
    </sheetView>
  </sheetViews>
  <sheetFormatPr defaultColWidth="9.00390625" defaultRowHeight="12.75"/>
  <cols>
    <col min="1" max="1" width="24.875" style="59" customWidth="1"/>
    <col min="2" max="2" width="74.875" style="58" customWidth="1"/>
    <col min="3" max="3" width="18.125" style="60" customWidth="1"/>
    <col min="4" max="4" width="19.00390625" style="59" customWidth="1"/>
    <col min="5" max="5" width="14.625" style="59" customWidth="1"/>
    <col min="6" max="6" width="14.375" style="58" customWidth="1"/>
    <col min="7" max="7" width="11.625" style="58" bestFit="1" customWidth="1"/>
    <col min="8" max="16384" width="9.125" style="58" customWidth="1"/>
  </cols>
  <sheetData>
    <row r="1" ht="15.75">
      <c r="D1" s="29" t="s">
        <v>508</v>
      </c>
    </row>
    <row r="2" ht="15.75">
      <c r="D2" s="29" t="s">
        <v>458</v>
      </c>
    </row>
    <row r="3" ht="15.75">
      <c r="D3" s="29" t="s">
        <v>459</v>
      </c>
    </row>
    <row r="4" ht="15.75">
      <c r="D4" s="29" t="s">
        <v>1097</v>
      </c>
    </row>
    <row r="6" spans="1:5" ht="21" customHeight="1">
      <c r="A6" s="251" t="s">
        <v>1084</v>
      </c>
      <c r="B6" s="251"/>
      <c r="C6" s="251"/>
      <c r="D6" s="251"/>
      <c r="E6" s="251"/>
    </row>
    <row r="7" spans="1:5" ht="21.75" customHeight="1">
      <c r="A7" s="251" t="s">
        <v>866</v>
      </c>
      <c r="B7" s="251"/>
      <c r="C7" s="251"/>
      <c r="D7" s="251"/>
      <c r="E7" s="251"/>
    </row>
    <row r="8" spans="1:5" ht="15.75">
      <c r="A8" s="251"/>
      <c r="B8" s="251"/>
      <c r="C8" s="251"/>
      <c r="D8" s="251"/>
      <c r="E8" s="251"/>
    </row>
    <row r="9" ht="15.75">
      <c r="E9" s="59" t="s">
        <v>509</v>
      </c>
    </row>
    <row r="10" spans="1:5" ht="31.5">
      <c r="A10" s="63" t="s">
        <v>867</v>
      </c>
      <c r="B10" s="61" t="s">
        <v>510</v>
      </c>
      <c r="C10" s="62" t="s">
        <v>455</v>
      </c>
      <c r="D10" s="61" t="s">
        <v>492</v>
      </c>
      <c r="E10" s="63" t="s">
        <v>463</v>
      </c>
    </row>
    <row r="11" spans="1:5" ht="15.75">
      <c r="A11" s="63">
        <v>1</v>
      </c>
      <c r="B11" s="61">
        <v>2</v>
      </c>
      <c r="C11" s="150">
        <v>3</v>
      </c>
      <c r="D11" s="61">
        <v>4</v>
      </c>
      <c r="E11" s="63">
        <v>5</v>
      </c>
    </row>
    <row r="12" spans="1:5" s="67" customFormat="1" ht="22.5" customHeight="1">
      <c r="A12" s="63" t="s">
        <v>511</v>
      </c>
      <c r="B12" s="64" t="s">
        <v>512</v>
      </c>
      <c r="C12" s="65">
        <f>C13+C28+C34+C48+C71+C77+C84+C92+C96+C102+C125</f>
        <v>1029408.6</v>
      </c>
      <c r="D12" s="65">
        <f>D13+D28+D34+D48+D71+D77+D84+D92+D96+D102+D125</f>
        <v>1040808.9999999998</v>
      </c>
      <c r="E12" s="66">
        <f>D12/C12</f>
        <v>1.0110747083325318</v>
      </c>
    </row>
    <row r="13" spans="1:5" s="67" customFormat="1" ht="15.75">
      <c r="A13" s="63" t="s">
        <v>513</v>
      </c>
      <c r="B13" s="64" t="s">
        <v>514</v>
      </c>
      <c r="C13" s="65">
        <f>C14</f>
        <v>576717.6</v>
      </c>
      <c r="D13" s="65">
        <f>D14</f>
        <v>581396.0999999999</v>
      </c>
      <c r="E13" s="66">
        <f>D13/C13</f>
        <v>1.0081122892729473</v>
      </c>
    </row>
    <row r="14" spans="1:5" ht="15.75">
      <c r="A14" s="63" t="s">
        <v>515</v>
      </c>
      <c r="B14" s="64" t="s">
        <v>516</v>
      </c>
      <c r="C14" s="65">
        <f>C15+C19+C22+C26</f>
        <v>576717.6</v>
      </c>
      <c r="D14" s="65">
        <f>D15+D16+D17+D18+D19+D20+D21+D22+D23+D24+D25+D26+D27</f>
        <v>581396.0999999999</v>
      </c>
      <c r="E14" s="66">
        <f>D14/C14</f>
        <v>1.0081122892729473</v>
      </c>
    </row>
    <row r="15" spans="1:5" ht="94.5">
      <c r="A15" s="68" t="s">
        <v>517</v>
      </c>
      <c r="B15" s="69" t="s">
        <v>518</v>
      </c>
      <c r="C15" s="70">
        <v>548217.6</v>
      </c>
      <c r="D15" s="71">
        <v>564033.2</v>
      </c>
      <c r="E15" s="72">
        <f>D15/C15</f>
        <v>1.0288491285212296</v>
      </c>
    </row>
    <row r="16" spans="1:5" ht="78.75">
      <c r="A16" s="68" t="s">
        <v>519</v>
      </c>
      <c r="B16" s="69" t="s">
        <v>520</v>
      </c>
      <c r="C16" s="70"/>
      <c r="D16" s="71">
        <v>1145.5</v>
      </c>
      <c r="E16" s="66"/>
    </row>
    <row r="17" spans="1:5" ht="94.5">
      <c r="A17" s="68" t="s">
        <v>521</v>
      </c>
      <c r="B17" s="69" t="s">
        <v>522</v>
      </c>
      <c r="C17" s="70"/>
      <c r="D17" s="71">
        <v>533.5</v>
      </c>
      <c r="E17" s="66"/>
    </row>
    <row r="18" spans="1:5" ht="94.5">
      <c r="A18" s="68" t="s">
        <v>523</v>
      </c>
      <c r="B18" s="69" t="s">
        <v>524</v>
      </c>
      <c r="C18" s="70"/>
      <c r="D18" s="71">
        <v>-1.1</v>
      </c>
      <c r="E18" s="66"/>
    </row>
    <row r="19" spans="1:5" ht="138.75" customHeight="1">
      <c r="A19" s="68" t="s">
        <v>525</v>
      </c>
      <c r="B19" s="73" t="s">
        <v>526</v>
      </c>
      <c r="C19" s="70">
        <v>2000</v>
      </c>
      <c r="D19" s="71">
        <v>2382.6</v>
      </c>
      <c r="E19" s="72">
        <f>D19/C19</f>
        <v>1.1913</v>
      </c>
    </row>
    <row r="20" spans="1:5" ht="121.5" customHeight="1">
      <c r="A20" s="68" t="s">
        <v>527</v>
      </c>
      <c r="B20" s="73" t="s">
        <v>528</v>
      </c>
      <c r="C20" s="70"/>
      <c r="D20" s="71">
        <v>13.5</v>
      </c>
      <c r="E20" s="66"/>
    </row>
    <row r="21" spans="1:5" ht="126">
      <c r="A21" s="68" t="s">
        <v>529</v>
      </c>
      <c r="B21" s="74" t="s">
        <v>530</v>
      </c>
      <c r="C21" s="70"/>
      <c r="D21" s="71">
        <v>20</v>
      </c>
      <c r="E21" s="66"/>
    </row>
    <row r="22" spans="1:5" ht="63">
      <c r="A22" s="68" t="s">
        <v>531</v>
      </c>
      <c r="B22" s="73" t="s">
        <v>532</v>
      </c>
      <c r="C22" s="70">
        <v>25000</v>
      </c>
      <c r="D22" s="71">
        <v>10914.7</v>
      </c>
      <c r="E22" s="72">
        <f>D22/C22</f>
        <v>0.43658800000000003</v>
      </c>
    </row>
    <row r="23" spans="1:5" ht="47.25">
      <c r="A23" s="68" t="s">
        <v>533</v>
      </c>
      <c r="B23" s="73" t="s">
        <v>534</v>
      </c>
      <c r="C23" s="70"/>
      <c r="D23" s="71">
        <v>153.6</v>
      </c>
      <c r="E23" s="66"/>
    </row>
    <row r="24" spans="1:5" ht="67.5" customHeight="1">
      <c r="A24" s="68" t="s">
        <v>535</v>
      </c>
      <c r="B24" s="73" t="s">
        <v>536</v>
      </c>
      <c r="C24" s="70"/>
      <c r="D24" s="71">
        <v>127.1</v>
      </c>
      <c r="E24" s="66"/>
    </row>
    <row r="25" spans="1:5" ht="67.5" customHeight="1">
      <c r="A25" s="68" t="s">
        <v>1055</v>
      </c>
      <c r="B25" s="73" t="s">
        <v>1056</v>
      </c>
      <c r="C25" s="70"/>
      <c r="D25" s="71">
        <v>0.9</v>
      </c>
      <c r="E25" s="66"/>
    </row>
    <row r="26" spans="1:5" ht="110.25">
      <c r="A26" s="68" t="s">
        <v>537</v>
      </c>
      <c r="B26" s="73" t="s">
        <v>538</v>
      </c>
      <c r="C26" s="70">
        <v>1500</v>
      </c>
      <c r="D26" s="71">
        <v>1685.9</v>
      </c>
      <c r="E26" s="72">
        <f aca="true" t="shared" si="0" ref="E26:E36">D26/C26</f>
        <v>1.1239333333333335</v>
      </c>
    </row>
    <row r="27" spans="1:5" ht="78.75">
      <c r="A27" s="68" t="s">
        <v>1057</v>
      </c>
      <c r="B27" s="73" t="s">
        <v>1058</v>
      </c>
      <c r="C27" s="79"/>
      <c r="D27" s="81">
        <v>386.7</v>
      </c>
      <c r="E27" s="72"/>
    </row>
    <row r="28" spans="1:5" ht="31.5">
      <c r="A28" s="75" t="s">
        <v>539</v>
      </c>
      <c r="B28" s="76" t="s">
        <v>540</v>
      </c>
      <c r="C28" s="77">
        <f>C29</f>
        <v>5961</v>
      </c>
      <c r="D28" s="78">
        <f>D29</f>
        <v>5437.6</v>
      </c>
      <c r="E28" s="66">
        <f t="shared" si="0"/>
        <v>0.9121959402784768</v>
      </c>
    </row>
    <row r="29" spans="1:5" ht="31.5">
      <c r="A29" s="75" t="s">
        <v>541</v>
      </c>
      <c r="B29" s="76" t="s">
        <v>542</v>
      </c>
      <c r="C29" s="77">
        <f>C30+C31+C32+C33</f>
        <v>5961</v>
      </c>
      <c r="D29" s="77">
        <f>D30+D31+D32+D33</f>
        <v>5437.6</v>
      </c>
      <c r="E29" s="66">
        <f t="shared" si="0"/>
        <v>0.9121959402784768</v>
      </c>
    </row>
    <row r="30" spans="1:5" ht="63">
      <c r="A30" s="68" t="s">
        <v>543</v>
      </c>
      <c r="B30" s="69" t="s">
        <v>544</v>
      </c>
      <c r="C30" s="79">
        <v>1799</v>
      </c>
      <c r="D30" s="80">
        <v>2422.8</v>
      </c>
      <c r="E30" s="72">
        <f t="shared" si="0"/>
        <v>1.3467481934408005</v>
      </c>
    </row>
    <row r="31" spans="1:5" ht="78.75">
      <c r="A31" s="68" t="s">
        <v>545</v>
      </c>
      <c r="B31" s="69" t="s">
        <v>546</v>
      </c>
      <c r="C31" s="79">
        <v>48</v>
      </c>
      <c r="D31" s="80">
        <v>23.3</v>
      </c>
      <c r="E31" s="72">
        <f t="shared" si="0"/>
        <v>0.48541666666666666</v>
      </c>
    </row>
    <row r="32" spans="1:5" ht="63">
      <c r="A32" s="68" t="s">
        <v>547</v>
      </c>
      <c r="B32" s="69" t="s">
        <v>548</v>
      </c>
      <c r="C32" s="79">
        <v>4114</v>
      </c>
      <c r="D32" s="80">
        <v>3534.3</v>
      </c>
      <c r="E32" s="72">
        <f t="shared" si="0"/>
        <v>0.8590909090909091</v>
      </c>
    </row>
    <row r="33" spans="1:5" s="67" customFormat="1" ht="63">
      <c r="A33" s="68" t="s">
        <v>549</v>
      </c>
      <c r="B33" s="69" t="s">
        <v>550</v>
      </c>
      <c r="C33" s="79"/>
      <c r="D33" s="81">
        <v>-542.8</v>
      </c>
      <c r="E33" s="72"/>
    </row>
    <row r="34" spans="1:5" s="67" customFormat="1" ht="21" customHeight="1">
      <c r="A34" s="75" t="s">
        <v>551</v>
      </c>
      <c r="B34" s="82" t="s">
        <v>552</v>
      </c>
      <c r="C34" s="62">
        <f>C35+C44</f>
        <v>85598</v>
      </c>
      <c r="D34" s="62">
        <f>D35+D41+D44</f>
        <v>76517.00000000001</v>
      </c>
      <c r="E34" s="66">
        <f t="shared" si="0"/>
        <v>0.8939110726886144</v>
      </c>
    </row>
    <row r="35" spans="1:5" s="67" customFormat="1" ht="28.5" customHeight="1">
      <c r="A35" s="63" t="s">
        <v>553</v>
      </c>
      <c r="B35" s="64" t="s">
        <v>554</v>
      </c>
      <c r="C35" s="62">
        <f>C36</f>
        <v>81964</v>
      </c>
      <c r="D35" s="83">
        <f>D36+D37+D38+D39+D40</f>
        <v>69942.70000000001</v>
      </c>
      <c r="E35" s="66">
        <f t="shared" si="0"/>
        <v>0.8533343907081159</v>
      </c>
    </row>
    <row r="36" spans="1:5" ht="47.25">
      <c r="A36" s="68" t="s">
        <v>555</v>
      </c>
      <c r="B36" s="69" t="s">
        <v>556</v>
      </c>
      <c r="C36" s="70">
        <v>81964</v>
      </c>
      <c r="D36" s="71">
        <v>69525.2</v>
      </c>
      <c r="E36" s="72">
        <f t="shared" si="0"/>
        <v>0.8482406910350886</v>
      </c>
    </row>
    <row r="37" spans="1:5" ht="31.5">
      <c r="A37" s="68" t="s">
        <v>557</v>
      </c>
      <c r="B37" s="69" t="s">
        <v>558</v>
      </c>
      <c r="C37" s="70"/>
      <c r="D37" s="71">
        <v>227.6</v>
      </c>
      <c r="E37" s="66"/>
    </row>
    <row r="38" spans="1:5" ht="47.25">
      <c r="A38" s="68" t="s">
        <v>559</v>
      </c>
      <c r="B38" s="69" t="s">
        <v>560</v>
      </c>
      <c r="C38" s="70"/>
      <c r="D38" s="71">
        <v>183.5</v>
      </c>
      <c r="E38" s="66"/>
    </row>
    <row r="39" spans="1:5" ht="47.25">
      <c r="A39" s="68" t="s">
        <v>561</v>
      </c>
      <c r="B39" s="69" t="s">
        <v>562</v>
      </c>
      <c r="C39" s="70"/>
      <c r="D39" s="71">
        <v>4.6</v>
      </c>
      <c r="E39" s="66"/>
    </row>
    <row r="40" spans="1:5" ht="63">
      <c r="A40" s="68" t="s">
        <v>563</v>
      </c>
      <c r="B40" s="69" t="s">
        <v>564</v>
      </c>
      <c r="C40" s="70"/>
      <c r="D40" s="71">
        <v>1.8</v>
      </c>
      <c r="E40" s="66"/>
    </row>
    <row r="41" spans="1:5" ht="15.75">
      <c r="A41" s="75" t="s">
        <v>868</v>
      </c>
      <c r="B41" s="82" t="s">
        <v>869</v>
      </c>
      <c r="C41" s="62"/>
      <c r="D41" s="83">
        <f>D42+D43</f>
        <v>3.5</v>
      </c>
      <c r="E41" s="66"/>
    </row>
    <row r="42" spans="1:5" ht="47.25">
      <c r="A42" s="68" t="s">
        <v>1059</v>
      </c>
      <c r="B42" s="84" t="s">
        <v>1060</v>
      </c>
      <c r="C42" s="62"/>
      <c r="D42" s="81">
        <v>0.5</v>
      </c>
      <c r="E42" s="66"/>
    </row>
    <row r="43" spans="1:5" ht="47.25">
      <c r="A43" s="68" t="s">
        <v>834</v>
      </c>
      <c r="B43" s="84" t="s">
        <v>835</v>
      </c>
      <c r="C43" s="70"/>
      <c r="D43" s="81">
        <v>3</v>
      </c>
      <c r="E43" s="66"/>
    </row>
    <row r="44" spans="1:5" ht="31.5">
      <c r="A44" s="75" t="s">
        <v>565</v>
      </c>
      <c r="B44" s="82" t="s">
        <v>566</v>
      </c>
      <c r="C44" s="62">
        <v>3634</v>
      </c>
      <c r="D44" s="78">
        <f>D45+D46+D47</f>
        <v>6570.8</v>
      </c>
      <c r="E44" s="66">
        <f aca="true" t="shared" si="1" ref="E44:E50">D44/C44</f>
        <v>1.808145294441387</v>
      </c>
    </row>
    <row r="45" spans="1:5" ht="63">
      <c r="A45" s="68" t="s">
        <v>567</v>
      </c>
      <c r="B45" s="84" t="s">
        <v>568</v>
      </c>
      <c r="C45" s="70">
        <v>3634</v>
      </c>
      <c r="D45" s="71">
        <v>6589.1</v>
      </c>
      <c r="E45" s="72">
        <f t="shared" si="1"/>
        <v>1.8131810676940012</v>
      </c>
    </row>
    <row r="46" spans="1:5" ht="47.25">
      <c r="A46" s="68" t="s">
        <v>836</v>
      </c>
      <c r="B46" s="84" t="s">
        <v>837</v>
      </c>
      <c r="C46" s="70"/>
      <c r="D46" s="71">
        <v>3.2</v>
      </c>
      <c r="E46" s="72"/>
    </row>
    <row r="47" spans="1:5" ht="47.25">
      <c r="A47" s="68" t="s">
        <v>569</v>
      </c>
      <c r="B47" s="84" t="s">
        <v>570</v>
      </c>
      <c r="C47" s="70"/>
      <c r="D47" s="71">
        <v>-21.5</v>
      </c>
      <c r="E47" s="72"/>
    </row>
    <row r="48" spans="1:5" s="67" customFormat="1" ht="15.75">
      <c r="A48" s="85" t="s">
        <v>571</v>
      </c>
      <c r="B48" s="64" t="s">
        <v>572</v>
      </c>
      <c r="C48" s="62">
        <f>C49+C53+C62</f>
        <v>241011</v>
      </c>
      <c r="D48" s="62">
        <f>D49+D53+D62</f>
        <v>232808.2</v>
      </c>
      <c r="E48" s="66">
        <f t="shared" si="1"/>
        <v>0.9659650389401314</v>
      </c>
    </row>
    <row r="49" spans="1:5" s="67" customFormat="1" ht="15.75">
      <c r="A49" s="85" t="s">
        <v>573</v>
      </c>
      <c r="B49" s="64" t="s">
        <v>574</v>
      </c>
      <c r="C49" s="62">
        <v>24000</v>
      </c>
      <c r="D49" s="83">
        <f>D50+D51+D52</f>
        <v>25079.5</v>
      </c>
      <c r="E49" s="66">
        <f t="shared" si="1"/>
        <v>1.0449791666666666</v>
      </c>
    </row>
    <row r="50" spans="1:5" ht="69" customHeight="1">
      <c r="A50" s="68" t="s">
        <v>575</v>
      </c>
      <c r="B50" s="69" t="s">
        <v>576</v>
      </c>
      <c r="C50" s="70">
        <v>24000</v>
      </c>
      <c r="D50" s="71">
        <v>24716.1</v>
      </c>
      <c r="E50" s="72">
        <f t="shared" si="1"/>
        <v>1.0298375</v>
      </c>
    </row>
    <row r="51" spans="1:5" ht="47.25">
      <c r="A51" s="68" t="s">
        <v>577</v>
      </c>
      <c r="B51" s="69" t="s">
        <v>578</v>
      </c>
      <c r="C51" s="70"/>
      <c r="D51" s="71">
        <v>363.5</v>
      </c>
      <c r="E51" s="66"/>
    </row>
    <row r="52" spans="1:5" ht="47.25">
      <c r="A52" s="68" t="s">
        <v>579</v>
      </c>
      <c r="B52" s="84" t="s">
        <v>580</v>
      </c>
      <c r="C52" s="70"/>
      <c r="D52" s="71">
        <v>-0.1</v>
      </c>
      <c r="E52" s="66"/>
    </row>
    <row r="53" spans="1:5" s="67" customFormat="1" ht="15.75">
      <c r="A53" s="85" t="s">
        <v>581</v>
      </c>
      <c r="B53" s="64" t="s">
        <v>582</v>
      </c>
      <c r="C53" s="62">
        <f>C54+C58</f>
        <v>83382</v>
      </c>
      <c r="D53" s="83">
        <f>D54+D58</f>
        <v>81496.59999999999</v>
      </c>
      <c r="E53" s="66">
        <f>D53/C53</f>
        <v>0.9773884051713798</v>
      </c>
    </row>
    <row r="54" spans="1:5" s="67" customFormat="1" ht="15.75">
      <c r="A54" s="85" t="s">
        <v>870</v>
      </c>
      <c r="B54" s="64" t="s">
        <v>583</v>
      </c>
      <c r="C54" s="62">
        <v>13200</v>
      </c>
      <c r="D54" s="83">
        <f>D55+D56+D57</f>
        <v>12553.9</v>
      </c>
      <c r="E54" s="66">
        <f>D54/C54</f>
        <v>0.9510530303030302</v>
      </c>
    </row>
    <row r="55" spans="1:5" ht="45" customHeight="1">
      <c r="A55" s="68" t="s">
        <v>584</v>
      </c>
      <c r="B55" s="69" t="s">
        <v>585</v>
      </c>
      <c r="C55" s="70">
        <v>13200</v>
      </c>
      <c r="D55" s="71">
        <v>12446.1</v>
      </c>
      <c r="E55" s="72">
        <f>D55/C55</f>
        <v>0.9428863636363637</v>
      </c>
    </row>
    <row r="56" spans="1:5" ht="26.25" customHeight="1">
      <c r="A56" s="68" t="s">
        <v>586</v>
      </c>
      <c r="B56" s="69" t="s">
        <v>587</v>
      </c>
      <c r="C56" s="70"/>
      <c r="D56" s="71">
        <v>93.8</v>
      </c>
      <c r="E56" s="66"/>
    </row>
    <row r="57" spans="1:5" ht="47.25">
      <c r="A57" s="68" t="s">
        <v>588</v>
      </c>
      <c r="B57" s="69" t="s">
        <v>589</v>
      </c>
      <c r="C57" s="70"/>
      <c r="D57" s="71">
        <v>14</v>
      </c>
      <c r="E57" s="66"/>
    </row>
    <row r="58" spans="1:5" ht="15.75">
      <c r="A58" s="75" t="s">
        <v>590</v>
      </c>
      <c r="B58" s="86" t="s">
        <v>591</v>
      </c>
      <c r="C58" s="62">
        <v>70182</v>
      </c>
      <c r="D58" s="87">
        <f>D59+D60+D61</f>
        <v>68942.7</v>
      </c>
      <c r="E58" s="66">
        <f>D58/C58</f>
        <v>0.9823416260579635</v>
      </c>
    </row>
    <row r="59" spans="1:5" ht="47.25">
      <c r="A59" s="68" t="s">
        <v>592</v>
      </c>
      <c r="B59" s="69" t="s">
        <v>593</v>
      </c>
      <c r="C59" s="70">
        <v>70182</v>
      </c>
      <c r="D59" s="71">
        <v>67237</v>
      </c>
      <c r="E59" s="72">
        <f>D59/C59</f>
        <v>0.9580376734775299</v>
      </c>
    </row>
    <row r="60" spans="1:5" ht="30.75" customHeight="1">
      <c r="A60" s="68" t="s">
        <v>594</v>
      </c>
      <c r="B60" s="69" t="s">
        <v>595</v>
      </c>
      <c r="C60" s="70"/>
      <c r="D60" s="71">
        <v>1705.9</v>
      </c>
      <c r="E60" s="66"/>
    </row>
    <row r="61" spans="1:5" ht="15.75">
      <c r="A61" s="68" t="s">
        <v>596</v>
      </c>
      <c r="B61" s="69" t="s">
        <v>597</v>
      </c>
      <c r="C61" s="70"/>
      <c r="D61" s="71">
        <v>-0.2</v>
      </c>
      <c r="E61" s="66"/>
    </row>
    <row r="62" spans="1:5" s="67" customFormat="1" ht="15.75">
      <c r="A62" s="85" t="s">
        <v>598</v>
      </c>
      <c r="B62" s="64" t="s">
        <v>599</v>
      </c>
      <c r="C62" s="62">
        <f>C64+C68</f>
        <v>133629</v>
      </c>
      <c r="D62" s="83">
        <f>D63+D67</f>
        <v>126232.1</v>
      </c>
      <c r="E62" s="66">
        <f>D62/C62</f>
        <v>0.9446459975005426</v>
      </c>
    </row>
    <row r="63" spans="1:5" s="67" customFormat="1" ht="15.75">
      <c r="A63" s="85" t="s">
        <v>600</v>
      </c>
      <c r="B63" s="64" t="s">
        <v>601</v>
      </c>
      <c r="C63" s="62">
        <v>107629</v>
      </c>
      <c r="D63" s="83">
        <f>D64+D65+D66</f>
        <v>104077.4</v>
      </c>
      <c r="E63" s="66">
        <f>D63/C63</f>
        <v>0.9670014587146586</v>
      </c>
    </row>
    <row r="64" spans="1:5" ht="63">
      <c r="A64" s="68" t="s">
        <v>602</v>
      </c>
      <c r="B64" s="69" t="s">
        <v>603</v>
      </c>
      <c r="C64" s="70">
        <v>107629</v>
      </c>
      <c r="D64" s="71">
        <v>103559.7</v>
      </c>
      <c r="E64" s="72">
        <f>D64/C64</f>
        <v>0.9621914168114541</v>
      </c>
    </row>
    <row r="65" spans="1:5" ht="47.25">
      <c r="A65" s="68" t="s">
        <v>604</v>
      </c>
      <c r="B65" s="69" t="s">
        <v>605</v>
      </c>
      <c r="C65" s="70"/>
      <c r="D65" s="71">
        <v>485</v>
      </c>
      <c r="E65" s="66"/>
    </row>
    <row r="66" spans="1:5" ht="63">
      <c r="A66" s="68" t="s">
        <v>606</v>
      </c>
      <c r="B66" s="69" t="s">
        <v>607</v>
      </c>
      <c r="C66" s="70"/>
      <c r="D66" s="71">
        <v>32.7</v>
      </c>
      <c r="E66" s="66"/>
    </row>
    <row r="67" spans="1:5" ht="15.75">
      <c r="A67" s="85" t="s">
        <v>608</v>
      </c>
      <c r="B67" s="64" t="s">
        <v>609</v>
      </c>
      <c r="C67" s="62">
        <v>26000</v>
      </c>
      <c r="D67" s="87">
        <f>D68+D69+D70</f>
        <v>22154.700000000004</v>
      </c>
      <c r="E67" s="66">
        <f>D67/C67</f>
        <v>0.8521038461538463</v>
      </c>
    </row>
    <row r="68" spans="1:5" ht="63">
      <c r="A68" s="68" t="s">
        <v>610</v>
      </c>
      <c r="B68" s="69" t="s">
        <v>611</v>
      </c>
      <c r="C68" s="70">
        <v>26000</v>
      </c>
      <c r="D68" s="71">
        <v>21859.4</v>
      </c>
      <c r="E68" s="72">
        <f>D68/C68</f>
        <v>0.8407461538461539</v>
      </c>
    </row>
    <row r="69" spans="1:5" ht="47.25">
      <c r="A69" s="68" t="s">
        <v>612</v>
      </c>
      <c r="B69" s="69" t="s">
        <v>613</v>
      </c>
      <c r="C69" s="70"/>
      <c r="D69" s="71">
        <v>296.4</v>
      </c>
      <c r="E69" s="66"/>
    </row>
    <row r="70" spans="1:5" ht="94.5">
      <c r="A70" s="68" t="s">
        <v>614</v>
      </c>
      <c r="B70" s="69" t="s">
        <v>615</v>
      </c>
      <c r="C70" s="70"/>
      <c r="D70" s="71">
        <v>-1.1</v>
      </c>
      <c r="E70" s="66"/>
    </row>
    <row r="71" spans="1:5" s="67" customFormat="1" ht="15.75">
      <c r="A71" s="85" t="s">
        <v>616</v>
      </c>
      <c r="B71" s="64" t="s">
        <v>617</v>
      </c>
      <c r="C71" s="62">
        <f>C72+C73+C76</f>
        <v>11580</v>
      </c>
      <c r="D71" s="83">
        <f>D72+D73+D75</f>
        <v>13047.199999999999</v>
      </c>
      <c r="E71" s="66">
        <f aca="true" t="shared" si="2" ref="E71:E134">D71/C71</f>
        <v>1.1267012089810016</v>
      </c>
    </row>
    <row r="72" spans="1:5" ht="78.75">
      <c r="A72" s="75" t="s">
        <v>618</v>
      </c>
      <c r="B72" s="86" t="s">
        <v>619</v>
      </c>
      <c r="C72" s="62">
        <v>11000</v>
      </c>
      <c r="D72" s="65">
        <v>12317.8</v>
      </c>
      <c r="E72" s="66">
        <f t="shared" si="2"/>
        <v>1.1198</v>
      </c>
    </row>
    <row r="73" spans="1:5" ht="31.5">
      <c r="A73" s="75" t="s">
        <v>620</v>
      </c>
      <c r="B73" s="86" t="s">
        <v>621</v>
      </c>
      <c r="C73" s="62">
        <v>20</v>
      </c>
      <c r="D73" s="87">
        <f>D74</f>
        <v>155</v>
      </c>
      <c r="E73" s="66">
        <f t="shared" si="2"/>
        <v>7.75</v>
      </c>
    </row>
    <row r="74" spans="1:5" ht="51" customHeight="1">
      <c r="A74" s="68" t="s">
        <v>622</v>
      </c>
      <c r="B74" s="69" t="s">
        <v>623</v>
      </c>
      <c r="C74" s="70">
        <v>20</v>
      </c>
      <c r="D74" s="71">
        <v>155</v>
      </c>
      <c r="E74" s="72">
        <f t="shared" si="2"/>
        <v>7.75</v>
      </c>
    </row>
    <row r="75" spans="1:5" ht="81.75" customHeight="1">
      <c r="A75" s="75" t="s">
        <v>624</v>
      </c>
      <c r="B75" s="76" t="s">
        <v>625</v>
      </c>
      <c r="C75" s="62">
        <v>560</v>
      </c>
      <c r="D75" s="62">
        <f>D76</f>
        <v>574.4</v>
      </c>
      <c r="E75" s="66">
        <f t="shared" si="2"/>
        <v>1.0257142857142856</v>
      </c>
    </row>
    <row r="76" spans="1:5" ht="117" customHeight="1">
      <c r="A76" s="68" t="s">
        <v>626</v>
      </c>
      <c r="B76" s="73" t="s">
        <v>627</v>
      </c>
      <c r="C76" s="70">
        <v>560</v>
      </c>
      <c r="D76" s="71">
        <v>574.4</v>
      </c>
      <c r="E76" s="72">
        <f t="shared" si="2"/>
        <v>1.0257142857142856</v>
      </c>
    </row>
    <row r="77" spans="1:5" s="67" customFormat="1" ht="31.5">
      <c r="A77" s="85" t="s">
        <v>628</v>
      </c>
      <c r="B77" s="64" t="s">
        <v>629</v>
      </c>
      <c r="C77" s="62">
        <f>C78+C79+C80+C82+C83</f>
        <v>54770.4</v>
      </c>
      <c r="D77" s="83">
        <f>D78+D79+D80+D81+D82+D83</f>
        <v>55493.7</v>
      </c>
      <c r="E77" s="66">
        <f t="shared" si="2"/>
        <v>1.0132060382980588</v>
      </c>
    </row>
    <row r="78" spans="1:5" ht="66.75" customHeight="1">
      <c r="A78" s="68" t="s">
        <v>630</v>
      </c>
      <c r="B78" s="73" t="s">
        <v>631</v>
      </c>
      <c r="C78" s="70">
        <v>30500</v>
      </c>
      <c r="D78" s="71">
        <v>30203.5</v>
      </c>
      <c r="E78" s="72">
        <f t="shared" si="2"/>
        <v>0.9902786885245901</v>
      </c>
    </row>
    <row r="79" spans="1:5" ht="63">
      <c r="A79" s="68" t="s">
        <v>632</v>
      </c>
      <c r="B79" s="69" t="s">
        <v>633</v>
      </c>
      <c r="C79" s="70">
        <v>7800</v>
      </c>
      <c r="D79" s="71">
        <v>6916.9</v>
      </c>
      <c r="E79" s="72">
        <f t="shared" si="2"/>
        <v>0.8867820512820512</v>
      </c>
    </row>
    <row r="80" spans="1:5" ht="63">
      <c r="A80" s="68" t="s">
        <v>634</v>
      </c>
      <c r="B80" s="69" t="s">
        <v>635</v>
      </c>
      <c r="C80" s="70">
        <v>6600</v>
      </c>
      <c r="D80" s="71">
        <v>8066.6</v>
      </c>
      <c r="E80" s="72">
        <f t="shared" si="2"/>
        <v>1.2222121212121213</v>
      </c>
    </row>
    <row r="81" spans="1:5" ht="94.5">
      <c r="A81" s="68" t="s">
        <v>636</v>
      </c>
      <c r="B81" s="69" t="s">
        <v>637</v>
      </c>
      <c r="C81" s="70"/>
      <c r="D81" s="71">
        <v>90.1</v>
      </c>
      <c r="E81" s="72"/>
    </row>
    <row r="82" spans="1:5" ht="47.25">
      <c r="A82" s="68" t="s">
        <v>638</v>
      </c>
      <c r="B82" s="69" t="s">
        <v>639</v>
      </c>
      <c r="C82" s="70">
        <v>2884.4</v>
      </c>
      <c r="D82" s="71">
        <v>2884.4</v>
      </c>
      <c r="E82" s="72">
        <f t="shared" si="2"/>
        <v>1</v>
      </c>
    </row>
    <row r="83" spans="1:5" ht="67.5" customHeight="1">
      <c r="A83" s="68" t="s">
        <v>640</v>
      </c>
      <c r="B83" s="69" t="s">
        <v>641</v>
      </c>
      <c r="C83" s="70">
        <v>6986</v>
      </c>
      <c r="D83" s="71">
        <v>7332.2</v>
      </c>
      <c r="E83" s="72">
        <f t="shared" si="2"/>
        <v>1.0495562553678786</v>
      </c>
    </row>
    <row r="84" spans="1:5" s="67" customFormat="1" ht="15.75">
      <c r="A84" s="85" t="s">
        <v>871</v>
      </c>
      <c r="B84" s="64" t="s">
        <v>642</v>
      </c>
      <c r="C84" s="62">
        <f>C85+C89</f>
        <v>12247.6</v>
      </c>
      <c r="D84" s="62">
        <f>D85+D89</f>
        <v>16496.2</v>
      </c>
      <c r="E84" s="66">
        <f t="shared" si="2"/>
        <v>1.3468924523988373</v>
      </c>
    </row>
    <row r="85" spans="1:5" s="67" customFormat="1" ht="15.75">
      <c r="A85" s="85" t="s">
        <v>643</v>
      </c>
      <c r="B85" s="64" t="s">
        <v>644</v>
      </c>
      <c r="C85" s="62">
        <f>C86+C87+C88</f>
        <v>11447.6</v>
      </c>
      <c r="D85" s="62">
        <f>D86+D87+D88</f>
        <v>14357.1</v>
      </c>
      <c r="E85" s="66">
        <f>D85/C85</f>
        <v>1.2541580768021245</v>
      </c>
    </row>
    <row r="86" spans="1:5" s="67" customFormat="1" ht="63">
      <c r="A86" s="68" t="s">
        <v>645</v>
      </c>
      <c r="B86" s="69" t="s">
        <v>646</v>
      </c>
      <c r="C86" s="70">
        <v>261</v>
      </c>
      <c r="D86" s="71">
        <v>192.1</v>
      </c>
      <c r="E86" s="72">
        <f t="shared" si="2"/>
        <v>0.7360153256704981</v>
      </c>
    </row>
    <row r="87" spans="1:5" s="67" customFormat="1" ht="47.25">
      <c r="A87" s="68" t="s">
        <v>647</v>
      </c>
      <c r="B87" s="69" t="s">
        <v>1049</v>
      </c>
      <c r="C87" s="70">
        <v>10531.6</v>
      </c>
      <c r="D87" s="71">
        <v>13611</v>
      </c>
      <c r="E87" s="72">
        <f t="shared" si="2"/>
        <v>1.2923962170990162</v>
      </c>
    </row>
    <row r="88" spans="1:5" s="67" customFormat="1" ht="47.25">
      <c r="A88" s="68" t="s">
        <v>1050</v>
      </c>
      <c r="B88" s="69" t="s">
        <v>1051</v>
      </c>
      <c r="C88" s="70">
        <v>655</v>
      </c>
      <c r="D88" s="71">
        <v>554</v>
      </c>
      <c r="E88" s="72">
        <f t="shared" si="2"/>
        <v>0.8458015267175573</v>
      </c>
    </row>
    <row r="89" spans="1:5" s="67" customFormat="1" ht="15.75">
      <c r="A89" s="75" t="s">
        <v>648</v>
      </c>
      <c r="B89" s="64" t="s">
        <v>649</v>
      </c>
      <c r="C89" s="62">
        <f>C90+C91</f>
        <v>800</v>
      </c>
      <c r="D89" s="87">
        <f>D90+D91</f>
        <v>2139.1</v>
      </c>
      <c r="E89" s="66">
        <f>D89/C89</f>
        <v>2.673875</v>
      </c>
    </row>
    <row r="90" spans="1:5" s="67" customFormat="1" ht="47.25">
      <c r="A90" s="68" t="s">
        <v>650</v>
      </c>
      <c r="B90" s="69" t="s">
        <v>651</v>
      </c>
      <c r="C90" s="70">
        <v>0</v>
      </c>
      <c r="D90" s="71">
        <v>539.6</v>
      </c>
      <c r="E90" s="72" t="e">
        <f>D90/C90</f>
        <v>#DIV/0!</v>
      </c>
    </row>
    <row r="91" spans="1:5" s="67" customFormat="1" ht="33.75" customHeight="1">
      <c r="A91" s="68" t="s">
        <v>652</v>
      </c>
      <c r="B91" s="69" t="s">
        <v>653</v>
      </c>
      <c r="C91" s="70">
        <v>800</v>
      </c>
      <c r="D91" s="71">
        <v>1599.5</v>
      </c>
      <c r="E91" s="72">
        <f>D91/C91</f>
        <v>1.999375</v>
      </c>
    </row>
    <row r="92" spans="1:5" s="67" customFormat="1" ht="31.5">
      <c r="A92" s="85" t="s">
        <v>654</v>
      </c>
      <c r="B92" s="64" t="s">
        <v>655</v>
      </c>
      <c r="C92" s="62">
        <f>C93+C94</f>
        <v>330</v>
      </c>
      <c r="D92" s="62">
        <f>D93+D94+D95</f>
        <v>7626.4</v>
      </c>
      <c r="E92" s="66">
        <f t="shared" si="2"/>
        <v>23.11030303030303</v>
      </c>
    </row>
    <row r="93" spans="1:5" s="67" customFormat="1" ht="31.5">
      <c r="A93" s="68" t="s">
        <v>656</v>
      </c>
      <c r="B93" s="69" t="s">
        <v>657</v>
      </c>
      <c r="C93" s="70">
        <v>30</v>
      </c>
      <c r="D93" s="81">
        <v>809.9</v>
      </c>
      <c r="E93" s="72">
        <f t="shared" si="2"/>
        <v>26.996666666666666</v>
      </c>
    </row>
    <row r="94" spans="1:5" ht="15.75">
      <c r="A94" s="68" t="s">
        <v>658</v>
      </c>
      <c r="B94" s="69" t="s">
        <v>659</v>
      </c>
      <c r="C94" s="70">
        <v>300</v>
      </c>
      <c r="D94" s="81">
        <v>4771.5</v>
      </c>
      <c r="E94" s="72">
        <f t="shared" si="2"/>
        <v>15.905</v>
      </c>
    </row>
    <row r="95" spans="1:5" ht="31.5">
      <c r="A95" s="68" t="s">
        <v>757</v>
      </c>
      <c r="B95" s="69" t="s">
        <v>758</v>
      </c>
      <c r="C95" s="70"/>
      <c r="D95" s="81">
        <v>2045</v>
      </c>
      <c r="E95" s="72"/>
    </row>
    <row r="96" spans="1:5" s="67" customFormat="1" ht="15.75">
      <c r="A96" s="85" t="s">
        <v>660</v>
      </c>
      <c r="B96" s="64" t="s">
        <v>661</v>
      </c>
      <c r="C96" s="62">
        <f>C98+C99+C100+C101</f>
        <v>24840</v>
      </c>
      <c r="D96" s="62">
        <f>D97+D98+D99+D100+D101</f>
        <v>29024.500000000004</v>
      </c>
      <c r="E96" s="66">
        <f t="shared" si="2"/>
        <v>1.1684581320450886</v>
      </c>
    </row>
    <row r="97" spans="1:5" s="67" customFormat="1" ht="78.75">
      <c r="A97" s="68" t="s">
        <v>853</v>
      </c>
      <c r="B97" s="69" t="s">
        <v>854</v>
      </c>
      <c r="C97" s="151"/>
      <c r="D97" s="70">
        <v>785.8</v>
      </c>
      <c r="E97" s="66"/>
    </row>
    <row r="98" spans="1:5" ht="78.75">
      <c r="A98" s="68" t="s">
        <v>662</v>
      </c>
      <c r="B98" s="69" t="s">
        <v>663</v>
      </c>
      <c r="C98" s="88"/>
      <c r="D98" s="71">
        <v>42.9</v>
      </c>
      <c r="E98" s="72"/>
    </row>
    <row r="99" spans="1:5" ht="78.75">
      <c r="A99" s="68" t="s">
        <v>664</v>
      </c>
      <c r="B99" s="69" t="s">
        <v>665</v>
      </c>
      <c r="C99" s="70">
        <v>9200</v>
      </c>
      <c r="D99" s="71">
        <v>10593.1</v>
      </c>
      <c r="E99" s="72">
        <f t="shared" si="2"/>
        <v>1.1514239130434782</v>
      </c>
    </row>
    <row r="100" spans="1:5" ht="47.25">
      <c r="A100" s="68" t="s">
        <v>666</v>
      </c>
      <c r="B100" s="69" t="s">
        <v>667</v>
      </c>
      <c r="C100" s="70">
        <v>12400</v>
      </c>
      <c r="D100" s="71">
        <v>14304</v>
      </c>
      <c r="E100" s="72">
        <f t="shared" si="2"/>
        <v>1.1535483870967742</v>
      </c>
    </row>
    <row r="101" spans="1:5" ht="47.25">
      <c r="A101" s="68" t="s">
        <v>668</v>
      </c>
      <c r="B101" s="69" t="s">
        <v>669</v>
      </c>
      <c r="C101" s="70">
        <v>3240</v>
      </c>
      <c r="D101" s="71">
        <v>3298.7</v>
      </c>
      <c r="E101" s="72">
        <f t="shared" si="2"/>
        <v>1.0181172839506172</v>
      </c>
    </row>
    <row r="102" spans="1:5" s="67" customFormat="1" ht="15.75">
      <c r="A102" s="85" t="s">
        <v>670</v>
      </c>
      <c r="B102" s="64" t="s">
        <v>671</v>
      </c>
      <c r="C102" s="62">
        <f>C103+C104+C105+C106+C107+C108+C109+C110+C111+C112+C113+C114+C115+C116+C117+C118+C119+C120+C121</f>
        <v>16023</v>
      </c>
      <c r="D102" s="62">
        <f>D103+D104+D105+D106+D107+D108+D109+D110+D111+D112+D113+D114+D115+D116+D117+D118+D119+D120+D121+D122+D123+D124</f>
        <v>22277.2</v>
      </c>
      <c r="E102" s="66">
        <f>D102/C102</f>
        <v>1.3903264057916744</v>
      </c>
    </row>
    <row r="103" spans="1:5" ht="94.5">
      <c r="A103" s="68" t="s">
        <v>672</v>
      </c>
      <c r="B103" s="89" t="s">
        <v>838</v>
      </c>
      <c r="C103" s="70">
        <v>200</v>
      </c>
      <c r="D103" s="81">
        <v>270.6</v>
      </c>
      <c r="E103" s="72">
        <f>D103/C103</f>
        <v>1.3530000000000002</v>
      </c>
    </row>
    <row r="104" spans="1:5" ht="78.75">
      <c r="A104" s="68" t="s">
        <v>673</v>
      </c>
      <c r="B104" s="89" t="s">
        <v>674</v>
      </c>
      <c r="C104" s="70">
        <v>50</v>
      </c>
      <c r="D104" s="81">
        <v>97.6</v>
      </c>
      <c r="E104" s="72">
        <f>D104/C104</f>
        <v>1.952</v>
      </c>
    </row>
    <row r="105" spans="1:5" ht="81.75" customHeight="1">
      <c r="A105" s="68" t="s">
        <v>675</v>
      </c>
      <c r="B105" s="89" t="s">
        <v>676</v>
      </c>
      <c r="C105" s="70">
        <v>150</v>
      </c>
      <c r="D105" s="81">
        <v>92</v>
      </c>
      <c r="E105" s="72">
        <f t="shared" si="2"/>
        <v>0.6133333333333333</v>
      </c>
    </row>
    <row r="106" spans="1:5" ht="78.75">
      <c r="A106" s="68" t="s">
        <v>677</v>
      </c>
      <c r="B106" s="89" t="s">
        <v>678</v>
      </c>
      <c r="C106" s="70">
        <v>110</v>
      </c>
      <c r="D106" s="81">
        <v>474.7</v>
      </c>
      <c r="E106" s="72">
        <f t="shared" si="2"/>
        <v>4.315454545454545</v>
      </c>
    </row>
    <row r="107" spans="1:5" ht="78.75">
      <c r="A107" s="68" t="s">
        <v>679</v>
      </c>
      <c r="B107" s="69" t="s">
        <v>680</v>
      </c>
      <c r="C107" s="70">
        <v>50</v>
      </c>
      <c r="D107" s="81">
        <v>1009</v>
      </c>
      <c r="E107" s="72">
        <f t="shared" si="2"/>
        <v>20.18</v>
      </c>
    </row>
    <row r="108" spans="1:5" ht="78.75">
      <c r="A108" s="68" t="s">
        <v>754</v>
      </c>
      <c r="B108" s="89" t="s">
        <v>681</v>
      </c>
      <c r="C108" s="70">
        <v>0</v>
      </c>
      <c r="D108" s="81">
        <v>1.9</v>
      </c>
      <c r="E108" s="72"/>
    </row>
    <row r="109" spans="1:5" ht="31.5">
      <c r="A109" s="68" t="s">
        <v>863</v>
      </c>
      <c r="B109" s="69" t="s">
        <v>864</v>
      </c>
      <c r="C109" s="70">
        <v>0</v>
      </c>
      <c r="D109" s="81">
        <v>4.9</v>
      </c>
      <c r="E109" s="72"/>
    </row>
    <row r="110" spans="1:5" ht="63">
      <c r="A110" s="68" t="s">
        <v>682</v>
      </c>
      <c r="B110" s="89" t="s">
        <v>683</v>
      </c>
      <c r="C110" s="70">
        <v>200</v>
      </c>
      <c r="D110" s="81">
        <v>693</v>
      </c>
      <c r="E110" s="72">
        <f t="shared" si="2"/>
        <v>3.465</v>
      </c>
    </row>
    <row r="111" spans="1:5" ht="51" customHeight="1">
      <c r="A111" s="68" t="s">
        <v>684</v>
      </c>
      <c r="B111" s="89" t="s">
        <v>685</v>
      </c>
      <c r="C111" s="70">
        <v>100</v>
      </c>
      <c r="D111" s="81">
        <v>118.5</v>
      </c>
      <c r="E111" s="72">
        <f t="shared" si="2"/>
        <v>1.185</v>
      </c>
    </row>
    <row r="112" spans="1:5" ht="61.5" customHeight="1">
      <c r="A112" s="68" t="s">
        <v>1061</v>
      </c>
      <c r="B112" s="69" t="s">
        <v>1062</v>
      </c>
      <c r="C112" s="70">
        <v>0</v>
      </c>
      <c r="D112" s="81">
        <v>30</v>
      </c>
      <c r="E112" s="72"/>
    </row>
    <row r="113" spans="1:5" ht="63">
      <c r="A113" s="68" t="s">
        <v>686</v>
      </c>
      <c r="B113" s="89" t="s">
        <v>687</v>
      </c>
      <c r="C113" s="70">
        <v>3700</v>
      </c>
      <c r="D113" s="81">
        <v>4246.9</v>
      </c>
      <c r="E113" s="72">
        <f t="shared" si="2"/>
        <v>1.1478108108108107</v>
      </c>
    </row>
    <row r="114" spans="1:5" ht="63">
      <c r="A114" s="68" t="s">
        <v>688</v>
      </c>
      <c r="B114" s="69" t="s">
        <v>689</v>
      </c>
      <c r="C114" s="70">
        <v>0</v>
      </c>
      <c r="D114" s="81">
        <v>21</v>
      </c>
      <c r="E114" s="72"/>
    </row>
    <row r="115" spans="1:5" ht="47.25">
      <c r="A115" s="68" t="s">
        <v>690</v>
      </c>
      <c r="B115" s="69" t="s">
        <v>691</v>
      </c>
      <c r="C115" s="70">
        <v>0</v>
      </c>
      <c r="D115" s="81">
        <v>232.5</v>
      </c>
      <c r="E115" s="72"/>
    </row>
    <row r="116" spans="1:5" ht="94.5">
      <c r="A116" s="68" t="s">
        <v>1053</v>
      </c>
      <c r="B116" s="69" t="s">
        <v>1054</v>
      </c>
      <c r="C116" s="70">
        <v>0</v>
      </c>
      <c r="D116" s="81">
        <v>3</v>
      </c>
      <c r="E116" s="72"/>
    </row>
    <row r="117" spans="1:5" ht="63">
      <c r="A117" s="68" t="s">
        <v>1080</v>
      </c>
      <c r="B117" s="69" t="s">
        <v>1081</v>
      </c>
      <c r="C117" s="70">
        <v>13</v>
      </c>
      <c r="D117" s="81">
        <v>165</v>
      </c>
      <c r="E117" s="72">
        <f>D117/C117</f>
        <v>12.692307692307692</v>
      </c>
    </row>
    <row r="118" spans="1:5" ht="94.5">
      <c r="A118" s="68" t="s">
        <v>692</v>
      </c>
      <c r="B118" s="89" t="s">
        <v>693</v>
      </c>
      <c r="C118" s="70">
        <v>0</v>
      </c>
      <c r="D118" s="81">
        <v>243.9</v>
      </c>
      <c r="E118" s="72"/>
    </row>
    <row r="119" spans="1:5" ht="63">
      <c r="A119" s="68" t="s">
        <v>694</v>
      </c>
      <c r="B119" s="89" t="s">
        <v>695</v>
      </c>
      <c r="C119" s="70">
        <v>430</v>
      </c>
      <c r="D119" s="81">
        <v>614</v>
      </c>
      <c r="E119" s="72">
        <f>D119/C119</f>
        <v>1.427906976744186</v>
      </c>
    </row>
    <row r="120" spans="1:5" ht="31.5">
      <c r="A120" s="68" t="s">
        <v>696</v>
      </c>
      <c r="B120" s="89" t="s">
        <v>697</v>
      </c>
      <c r="C120" s="70">
        <v>9520</v>
      </c>
      <c r="D120" s="81">
        <v>5506.1</v>
      </c>
      <c r="E120" s="72">
        <f>D120/C120</f>
        <v>0.5783718487394959</v>
      </c>
    </row>
    <row r="121" spans="1:5" ht="63">
      <c r="A121" s="68" t="s">
        <v>698</v>
      </c>
      <c r="B121" s="69" t="s">
        <v>699</v>
      </c>
      <c r="C121" s="70">
        <v>1500</v>
      </c>
      <c r="D121" s="81">
        <v>2898.8</v>
      </c>
      <c r="E121" s="72">
        <f>D121/C121</f>
        <v>1.9325333333333334</v>
      </c>
    </row>
    <row r="122" spans="1:5" ht="63">
      <c r="A122" s="68" t="s">
        <v>700</v>
      </c>
      <c r="B122" s="69" t="s">
        <v>701</v>
      </c>
      <c r="C122" s="70"/>
      <c r="D122" s="81">
        <v>1855.1</v>
      </c>
      <c r="E122" s="72"/>
    </row>
    <row r="123" spans="1:5" ht="63">
      <c r="A123" s="68" t="s">
        <v>702</v>
      </c>
      <c r="B123" s="89" t="s">
        <v>703</v>
      </c>
      <c r="C123" s="70"/>
      <c r="D123" s="81">
        <v>3698.4</v>
      </c>
      <c r="E123" s="72"/>
    </row>
    <row r="124" spans="1:5" ht="47.25">
      <c r="A124" s="68" t="s">
        <v>704</v>
      </c>
      <c r="B124" s="69" t="s">
        <v>745</v>
      </c>
      <c r="C124" s="70"/>
      <c r="D124" s="81">
        <v>0.3</v>
      </c>
      <c r="E124" s="72"/>
    </row>
    <row r="125" spans="1:5" s="67" customFormat="1" ht="15.75">
      <c r="A125" s="85" t="s">
        <v>705</v>
      </c>
      <c r="B125" s="64" t="s">
        <v>706</v>
      </c>
      <c r="C125" s="62">
        <f>C129</f>
        <v>330</v>
      </c>
      <c r="D125" s="83">
        <f>D126+D128</f>
        <v>684.9</v>
      </c>
      <c r="E125" s="66">
        <f>D125/C125</f>
        <v>2.075454545454545</v>
      </c>
    </row>
    <row r="126" spans="1:5" s="67" customFormat="1" ht="15.75">
      <c r="A126" s="85" t="s">
        <v>872</v>
      </c>
      <c r="B126" s="64" t="s">
        <v>873</v>
      </c>
      <c r="C126" s="62"/>
      <c r="D126" s="83">
        <f>D127</f>
        <v>-83.5</v>
      </c>
      <c r="E126" s="66"/>
    </row>
    <row r="127" spans="1:5" s="67" customFormat="1" ht="15.75">
      <c r="A127" s="92" t="s">
        <v>839</v>
      </c>
      <c r="B127" s="93" t="s">
        <v>840</v>
      </c>
      <c r="C127" s="70"/>
      <c r="D127" s="81">
        <v>-83.5</v>
      </c>
      <c r="E127" s="66"/>
    </row>
    <row r="128" spans="1:5" s="67" customFormat="1" ht="15.75">
      <c r="A128" s="85" t="s">
        <v>874</v>
      </c>
      <c r="B128" s="64" t="s">
        <v>706</v>
      </c>
      <c r="C128" s="62">
        <v>330</v>
      </c>
      <c r="D128" s="83">
        <f>D129</f>
        <v>768.4</v>
      </c>
      <c r="E128" s="66">
        <f>D128/C128</f>
        <v>2.3284848484848486</v>
      </c>
    </row>
    <row r="129" spans="1:5" ht="15.75">
      <c r="A129" s="68" t="s">
        <v>707</v>
      </c>
      <c r="B129" s="69" t="s">
        <v>708</v>
      </c>
      <c r="C129" s="70">
        <v>330</v>
      </c>
      <c r="D129" s="81">
        <v>768.4</v>
      </c>
      <c r="E129" s="72">
        <f>D129/C129</f>
        <v>2.3284848484848486</v>
      </c>
    </row>
    <row r="130" spans="1:5" s="67" customFormat="1" ht="15.75">
      <c r="A130" s="85" t="s">
        <v>709</v>
      </c>
      <c r="B130" s="64" t="s">
        <v>710</v>
      </c>
      <c r="C130" s="62">
        <f>C131+C152</f>
        <v>1444314.2000000002</v>
      </c>
      <c r="D130" s="62">
        <f>D131+D152+D154+D157</f>
        <v>1437684.2000000004</v>
      </c>
      <c r="E130" s="66">
        <f t="shared" si="2"/>
        <v>0.9954095860859086</v>
      </c>
    </row>
    <row r="131" spans="1:6" s="67" customFormat="1" ht="31.5">
      <c r="A131" s="85" t="s">
        <v>711</v>
      </c>
      <c r="B131" s="64" t="s">
        <v>712</v>
      </c>
      <c r="C131" s="62">
        <f>C132+C135+C142+C150</f>
        <v>1444002.1</v>
      </c>
      <c r="D131" s="62">
        <f>D132+D135+D142+D150</f>
        <v>1437022.5000000002</v>
      </c>
      <c r="E131" s="66">
        <f t="shared" si="2"/>
        <v>0.9951664890238041</v>
      </c>
      <c r="F131" s="148"/>
    </row>
    <row r="132" spans="1:5" s="67" customFormat="1" ht="15.75">
      <c r="A132" s="90" t="s">
        <v>875</v>
      </c>
      <c r="B132" s="86" t="s">
        <v>876</v>
      </c>
      <c r="C132" s="77">
        <f>C133+C134</f>
        <v>76150.3</v>
      </c>
      <c r="D132" s="77">
        <f>D133+D134</f>
        <v>76150.3</v>
      </c>
      <c r="E132" s="66">
        <f t="shared" si="2"/>
        <v>1</v>
      </c>
    </row>
    <row r="133" spans="1:5" ht="31.5">
      <c r="A133" s="68" t="s">
        <v>861</v>
      </c>
      <c r="B133" s="69" t="s">
        <v>713</v>
      </c>
      <c r="C133" s="79">
        <v>71612.3</v>
      </c>
      <c r="D133" s="71">
        <v>71612.3</v>
      </c>
      <c r="E133" s="72">
        <f t="shared" si="2"/>
        <v>1</v>
      </c>
    </row>
    <row r="134" spans="1:5" ht="31.5">
      <c r="A134" s="68" t="s">
        <v>1077</v>
      </c>
      <c r="B134" s="69" t="s">
        <v>1078</v>
      </c>
      <c r="C134" s="79">
        <v>4538</v>
      </c>
      <c r="D134" s="218">
        <v>4538</v>
      </c>
      <c r="E134" s="72">
        <f t="shared" si="2"/>
        <v>1</v>
      </c>
    </row>
    <row r="135" spans="1:5" ht="31.5">
      <c r="A135" s="90" t="s">
        <v>877</v>
      </c>
      <c r="B135" s="86" t="s">
        <v>878</v>
      </c>
      <c r="C135" s="77">
        <f>C136+C137+C138+C139+C140+C141</f>
        <v>395324.5</v>
      </c>
      <c r="D135" s="77">
        <f>D136+D137+D138+D139+D140+D141</f>
        <v>391639.5</v>
      </c>
      <c r="E135" s="66">
        <f aca="true" t="shared" si="3" ref="E135:E148">D135/C135</f>
        <v>0.9906785438291834</v>
      </c>
    </row>
    <row r="136" spans="1:5" ht="31.5">
      <c r="A136" s="152" t="s">
        <v>879</v>
      </c>
      <c r="B136" s="153" t="s">
        <v>714</v>
      </c>
      <c r="C136" s="79">
        <v>193927</v>
      </c>
      <c r="D136" s="79">
        <v>193927</v>
      </c>
      <c r="E136" s="72">
        <f>D136/C136</f>
        <v>1</v>
      </c>
    </row>
    <row r="137" spans="1:5" ht="31.5">
      <c r="A137" s="68" t="s">
        <v>1075</v>
      </c>
      <c r="B137" s="69" t="s">
        <v>1076</v>
      </c>
      <c r="C137" s="70">
        <v>13689.4</v>
      </c>
      <c r="D137" s="79">
        <v>12774.7</v>
      </c>
      <c r="E137" s="72">
        <f>D137/C137</f>
        <v>0.9331818779493624</v>
      </c>
    </row>
    <row r="138" spans="1:5" ht="15.75">
      <c r="A138" s="68" t="s">
        <v>857</v>
      </c>
      <c r="B138" s="69" t="s">
        <v>858</v>
      </c>
      <c r="C138" s="79">
        <v>50</v>
      </c>
      <c r="D138" s="79">
        <v>50</v>
      </c>
      <c r="E138" s="72">
        <f>D138/C138</f>
        <v>1</v>
      </c>
    </row>
    <row r="139" spans="1:5" ht="47.25">
      <c r="A139" s="68" t="s">
        <v>841</v>
      </c>
      <c r="B139" s="69" t="s">
        <v>842</v>
      </c>
      <c r="C139" s="79">
        <v>28111.2</v>
      </c>
      <c r="D139" s="79">
        <v>28111.2</v>
      </c>
      <c r="E139" s="72">
        <f>D139/C139</f>
        <v>1</v>
      </c>
    </row>
    <row r="140" spans="1:5" ht="31.5">
      <c r="A140" s="68" t="s">
        <v>1064</v>
      </c>
      <c r="B140" s="69" t="s">
        <v>1065</v>
      </c>
      <c r="C140" s="79">
        <v>4231.7</v>
      </c>
      <c r="D140" s="79">
        <v>4231.7</v>
      </c>
      <c r="E140" s="72">
        <f>D140/C140</f>
        <v>1</v>
      </c>
    </row>
    <row r="141" spans="1:5" ht="15.75">
      <c r="A141" s="68" t="s">
        <v>856</v>
      </c>
      <c r="B141" s="69" t="s">
        <v>715</v>
      </c>
      <c r="C141" s="79">
        <v>155315.2</v>
      </c>
      <c r="D141" s="91">
        <v>152544.9</v>
      </c>
      <c r="E141" s="72">
        <f t="shared" si="3"/>
        <v>0.9821633684275588</v>
      </c>
    </row>
    <row r="142" spans="1:5" s="67" customFormat="1" ht="15.75">
      <c r="A142" s="90" t="s">
        <v>880</v>
      </c>
      <c r="B142" s="86" t="s">
        <v>881</v>
      </c>
      <c r="C142" s="77">
        <f>C143+C144+C145+C146+C147+C148+C149</f>
        <v>955162</v>
      </c>
      <c r="D142" s="77">
        <f>D143+D144+D145+D146+D147+D148+D149</f>
        <v>952347.6000000001</v>
      </c>
      <c r="E142" s="66">
        <f t="shared" si="3"/>
        <v>0.9970534841210184</v>
      </c>
    </row>
    <row r="143" spans="1:5" ht="31.5">
      <c r="A143" s="68" t="s">
        <v>844</v>
      </c>
      <c r="B143" s="69" t="s">
        <v>717</v>
      </c>
      <c r="C143" s="70">
        <v>933184.6</v>
      </c>
      <c r="D143" s="81">
        <v>930618.8</v>
      </c>
      <c r="E143" s="72">
        <f t="shared" si="3"/>
        <v>0.9972504904174373</v>
      </c>
    </row>
    <row r="144" spans="1:5" ht="63" customHeight="1">
      <c r="A144" s="68" t="s">
        <v>845</v>
      </c>
      <c r="B144" s="69" t="s">
        <v>846</v>
      </c>
      <c r="C144" s="70">
        <v>14459.9</v>
      </c>
      <c r="D144" s="81">
        <v>14459.9</v>
      </c>
      <c r="E144" s="72">
        <f t="shared" si="3"/>
        <v>1</v>
      </c>
    </row>
    <row r="145" spans="1:5" ht="48.75" customHeight="1">
      <c r="A145" s="68" t="s">
        <v>1066</v>
      </c>
      <c r="B145" s="69" t="s">
        <v>1067</v>
      </c>
      <c r="C145" s="70">
        <v>476.3</v>
      </c>
      <c r="D145" s="81">
        <v>476.3</v>
      </c>
      <c r="E145" s="72">
        <f t="shared" si="3"/>
        <v>1</v>
      </c>
    </row>
    <row r="146" spans="1:5" ht="47.25">
      <c r="A146" s="68" t="s">
        <v>847</v>
      </c>
      <c r="B146" s="69" t="s">
        <v>1068</v>
      </c>
      <c r="C146" s="70">
        <v>729.2</v>
      </c>
      <c r="D146" s="81">
        <v>729.2</v>
      </c>
      <c r="E146" s="72">
        <f t="shared" si="3"/>
        <v>1</v>
      </c>
    </row>
    <row r="147" spans="1:5" ht="63">
      <c r="A147" s="68" t="s">
        <v>1069</v>
      </c>
      <c r="B147" s="69" t="s">
        <v>1070</v>
      </c>
      <c r="C147" s="70">
        <v>2231.2</v>
      </c>
      <c r="D147" s="81">
        <v>2187.4</v>
      </c>
      <c r="E147" s="72">
        <f t="shared" si="3"/>
        <v>0.9803693079956975</v>
      </c>
    </row>
    <row r="148" spans="1:5" ht="31.5">
      <c r="A148" s="68" t="s">
        <v>882</v>
      </c>
      <c r="B148" s="69" t="s">
        <v>716</v>
      </c>
      <c r="C148" s="70">
        <v>3807.3</v>
      </c>
      <c r="D148" s="81">
        <v>3807.3</v>
      </c>
      <c r="E148" s="72">
        <f t="shared" si="3"/>
        <v>1</v>
      </c>
    </row>
    <row r="149" spans="1:5" ht="15.75">
      <c r="A149" s="68" t="s">
        <v>848</v>
      </c>
      <c r="B149" s="69" t="s">
        <v>849</v>
      </c>
      <c r="C149" s="70">
        <v>273.5</v>
      </c>
      <c r="D149" s="81">
        <v>68.7</v>
      </c>
      <c r="E149" s="72">
        <f>D149/C149</f>
        <v>0.25118829981718466</v>
      </c>
    </row>
    <row r="150" spans="1:5" s="67" customFormat="1" ht="15.75">
      <c r="A150" s="63" t="s">
        <v>718</v>
      </c>
      <c r="B150" s="86" t="s">
        <v>719</v>
      </c>
      <c r="C150" s="77">
        <v>17365.3</v>
      </c>
      <c r="D150" s="77">
        <v>16885.1</v>
      </c>
      <c r="E150" s="66">
        <f>D150/C150</f>
        <v>0.9723471520791463</v>
      </c>
    </row>
    <row r="151" spans="1:5" ht="31.5">
      <c r="A151" s="68" t="s">
        <v>850</v>
      </c>
      <c r="B151" s="69" t="s">
        <v>720</v>
      </c>
      <c r="C151" s="79">
        <v>17365.3</v>
      </c>
      <c r="D151" s="91">
        <v>16885.1</v>
      </c>
      <c r="E151" s="72">
        <f>D151/C151</f>
        <v>0.9723471520791463</v>
      </c>
    </row>
    <row r="152" spans="1:5" ht="15.75">
      <c r="A152" s="75" t="s">
        <v>721</v>
      </c>
      <c r="B152" s="82" t="s">
        <v>883</v>
      </c>
      <c r="C152" s="62">
        <v>312.1</v>
      </c>
      <c r="D152" s="83">
        <v>312.1</v>
      </c>
      <c r="E152" s="66">
        <f>D152/C152</f>
        <v>1</v>
      </c>
    </row>
    <row r="153" spans="1:5" ht="15.75">
      <c r="A153" s="68" t="s">
        <v>723</v>
      </c>
      <c r="B153" s="69" t="s">
        <v>722</v>
      </c>
      <c r="C153" s="70">
        <v>312.1</v>
      </c>
      <c r="D153" s="81">
        <v>312.1</v>
      </c>
      <c r="E153" s="72">
        <f>D153/C153</f>
        <v>1</v>
      </c>
    </row>
    <row r="154" spans="1:5" ht="67.5" customHeight="1">
      <c r="A154" s="75" t="s">
        <v>724</v>
      </c>
      <c r="B154" s="82" t="s">
        <v>725</v>
      </c>
      <c r="C154" s="62"/>
      <c r="D154" s="83">
        <f>D155+D156</f>
        <v>4848.3</v>
      </c>
      <c r="E154" s="66"/>
    </row>
    <row r="155" spans="1:5" ht="31.5">
      <c r="A155" s="68" t="s">
        <v>726</v>
      </c>
      <c r="B155" s="69" t="s">
        <v>727</v>
      </c>
      <c r="C155" s="62"/>
      <c r="D155" s="81">
        <v>244.6</v>
      </c>
      <c r="E155" s="66"/>
    </row>
    <row r="156" spans="1:5" ht="31.5">
      <c r="A156" s="68" t="s">
        <v>728</v>
      </c>
      <c r="B156" s="69" t="s">
        <v>729</v>
      </c>
      <c r="C156" s="62"/>
      <c r="D156" s="81">
        <v>4603.7</v>
      </c>
      <c r="E156" s="66"/>
    </row>
    <row r="157" spans="1:5" s="67" customFormat="1" ht="31.5">
      <c r="A157" s="220" t="s">
        <v>730</v>
      </c>
      <c r="B157" s="64" t="s">
        <v>731</v>
      </c>
      <c r="C157" s="62"/>
      <c r="D157" s="62">
        <f>D158+D159+D160+D161</f>
        <v>-4498.7</v>
      </c>
      <c r="E157" s="66"/>
    </row>
    <row r="158" spans="1:5" s="67" customFormat="1" ht="47.25">
      <c r="A158" s="154" t="s">
        <v>859</v>
      </c>
      <c r="B158" s="155" t="s">
        <v>884</v>
      </c>
      <c r="C158" s="62"/>
      <c r="D158" s="91">
        <v>-8.6</v>
      </c>
      <c r="E158" s="66"/>
    </row>
    <row r="159" spans="1:5" s="67" customFormat="1" ht="64.5" customHeight="1">
      <c r="A159" s="219" t="s">
        <v>1071</v>
      </c>
      <c r="B159" s="69" t="s">
        <v>1072</v>
      </c>
      <c r="C159" s="62"/>
      <c r="D159" s="91">
        <v>-694.7</v>
      </c>
      <c r="E159" s="66"/>
    </row>
    <row r="160" spans="1:5" s="67" customFormat="1" ht="31.5">
      <c r="A160" s="219" t="s">
        <v>1073</v>
      </c>
      <c r="B160" s="69" t="s">
        <v>1074</v>
      </c>
      <c r="C160" s="62"/>
      <c r="D160" s="91">
        <v>-52.4</v>
      </c>
      <c r="E160" s="66"/>
    </row>
    <row r="161" spans="1:5" ht="47.25">
      <c r="A161" s="156" t="s">
        <v>851</v>
      </c>
      <c r="B161" s="155" t="s">
        <v>852</v>
      </c>
      <c r="C161" s="70"/>
      <c r="D161" s="81">
        <v>-3743</v>
      </c>
      <c r="E161" s="66"/>
    </row>
    <row r="162" spans="1:5" s="67" customFormat="1" ht="18.75">
      <c r="A162" s="85"/>
      <c r="B162" s="230" t="s">
        <v>732</v>
      </c>
      <c r="C162" s="229">
        <f>C130+C12</f>
        <v>2473722.8000000003</v>
      </c>
      <c r="D162" s="231">
        <f>D12+D130</f>
        <v>2478493.2</v>
      </c>
      <c r="E162" s="232">
        <f>D162/C162</f>
        <v>1.001928429490968</v>
      </c>
    </row>
    <row r="166" ht="15.75">
      <c r="D166" s="60"/>
    </row>
  </sheetData>
  <sheetProtection/>
  <mergeCells count="3">
    <mergeCell ref="A6:E6"/>
    <mergeCell ref="A7:E7"/>
    <mergeCell ref="A8:E8"/>
  </mergeCells>
  <printOptions/>
  <pageMargins left="1.1811023622047245" right="0.3937007874015748" top="0.7874015748031497" bottom="0.7874015748031497" header="0.31496062992125984" footer="0.1968503937007874"/>
  <pageSetup fitToHeight="15" fitToWidth="1" horizontalDpi="600" verticalDpi="600" orientation="portrait" paperSize="9" scale="57"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1134"/>
  <sheetViews>
    <sheetView tabSelected="1" view="pageLayout" zoomScale="70" zoomScaleNormal="80" zoomScaleSheetLayoutView="80" zoomScalePageLayoutView="70" workbookViewId="0" topLeftCell="A514">
      <selection activeCell="E528" sqref="E528"/>
    </sheetView>
  </sheetViews>
  <sheetFormatPr defaultColWidth="40.75390625" defaultRowHeight="12.75"/>
  <cols>
    <col min="1" max="1" width="15.75390625" style="4" customWidth="1"/>
    <col min="2" max="2" width="15.00390625" style="4" customWidth="1"/>
    <col min="3" max="3" width="18.625" style="4" customWidth="1"/>
    <col min="4" max="4" width="12.875" style="4" customWidth="1"/>
    <col min="5" max="5" width="163.75390625" style="5" customWidth="1"/>
    <col min="6" max="7" width="16.125" style="5" hidden="1" customWidth="1"/>
    <col min="8" max="8" width="19.125" style="51" customWidth="1"/>
    <col min="9" max="9" width="18.75390625" style="51" customWidth="1"/>
    <col min="10" max="10" width="16.125" style="4" customWidth="1"/>
    <col min="11" max="11" width="23.875" style="4" customWidth="1"/>
    <col min="12" max="12" width="11.00390625" style="4" customWidth="1"/>
    <col min="13" max="16384" width="40.75390625" style="4" customWidth="1"/>
  </cols>
  <sheetData>
    <row r="1" spans="9:10" ht="18.75">
      <c r="I1" s="29" t="s">
        <v>1098</v>
      </c>
      <c r="J1" s="29"/>
    </row>
    <row r="2" spans="9:10" ht="18.75">
      <c r="I2" s="29" t="s">
        <v>458</v>
      </c>
      <c r="J2" s="29"/>
    </row>
    <row r="3" spans="9:10" ht="18.75">
      <c r="I3" s="29" t="s">
        <v>459</v>
      </c>
      <c r="J3" s="29"/>
    </row>
    <row r="4" spans="9:10" ht="18.75">
      <c r="I4" s="29" t="s">
        <v>1097</v>
      </c>
      <c r="J4" s="29"/>
    </row>
    <row r="5" ht="18.75">
      <c r="J5" s="114"/>
    </row>
    <row r="8" spans="1:10" ht="18.75">
      <c r="A8" s="252" t="s">
        <v>886</v>
      </c>
      <c r="B8" s="252"/>
      <c r="C8" s="252"/>
      <c r="D8" s="252"/>
      <c r="E8" s="252"/>
      <c r="F8" s="252"/>
      <c r="G8" s="252"/>
      <c r="H8" s="252"/>
      <c r="I8" s="252"/>
      <c r="J8" s="252"/>
    </row>
    <row r="9" ht="18.75">
      <c r="I9" s="221" t="s">
        <v>1</v>
      </c>
    </row>
    <row r="10" spans="1:10" s="6" customFormat="1" ht="17.25" customHeight="1">
      <c r="A10" s="256" t="s">
        <v>5</v>
      </c>
      <c r="B10" s="260" t="s">
        <v>415</v>
      </c>
      <c r="C10" s="261"/>
      <c r="D10" s="262"/>
      <c r="E10" s="258" t="s">
        <v>6</v>
      </c>
      <c r="F10" s="158"/>
      <c r="G10" s="158"/>
      <c r="H10" s="254" t="s">
        <v>455</v>
      </c>
      <c r="I10" s="254" t="s">
        <v>492</v>
      </c>
      <c r="J10" s="263" t="s">
        <v>456</v>
      </c>
    </row>
    <row r="11" spans="1:10" s="6" customFormat="1" ht="58.5" customHeight="1">
      <c r="A11" s="257"/>
      <c r="B11" s="21" t="s">
        <v>7</v>
      </c>
      <c r="C11" s="20" t="s">
        <v>8</v>
      </c>
      <c r="D11" s="20" t="s">
        <v>9</v>
      </c>
      <c r="E11" s="259"/>
      <c r="F11" s="159"/>
      <c r="G11" s="159"/>
      <c r="H11" s="255"/>
      <c r="I11" s="255"/>
      <c r="J11" s="263"/>
    </row>
    <row r="12" spans="1:10" s="7" customFormat="1" ht="18.75" customHeight="1">
      <c r="A12" s="2">
        <v>1</v>
      </c>
      <c r="B12" s="2">
        <v>2</v>
      </c>
      <c r="C12" s="1" t="s">
        <v>3</v>
      </c>
      <c r="D12" s="1" t="s">
        <v>2</v>
      </c>
      <c r="E12" s="3">
        <v>5</v>
      </c>
      <c r="F12" s="3"/>
      <c r="G12" s="3"/>
      <c r="H12" s="52" t="s">
        <v>4</v>
      </c>
      <c r="I12" s="52" t="s">
        <v>0</v>
      </c>
      <c r="J12" s="1" t="s">
        <v>413</v>
      </c>
    </row>
    <row r="13" spans="1:12" ht="18.75">
      <c r="A13" s="162" t="s">
        <v>328</v>
      </c>
      <c r="B13" s="162" t="s">
        <v>766</v>
      </c>
      <c r="C13" s="162" t="s">
        <v>766</v>
      </c>
      <c r="D13" s="162" t="s">
        <v>766</v>
      </c>
      <c r="E13" s="163" t="s">
        <v>10</v>
      </c>
      <c r="F13" s="164" t="e">
        <f>F14+F26</f>
        <v>#REF!</v>
      </c>
      <c r="G13" s="164" t="e">
        <f>G14+G26</f>
        <v>#REF!</v>
      </c>
      <c r="H13" s="164">
        <f>H14+H26</f>
        <v>6255.900000000001</v>
      </c>
      <c r="I13" s="164">
        <f>I14+I26</f>
        <v>6110.1</v>
      </c>
      <c r="J13" s="165">
        <f aca="true" t="shared" si="0" ref="J13:J30">I13/H13</f>
        <v>0.9766940008631851</v>
      </c>
      <c r="K13" s="223"/>
      <c r="L13" s="224"/>
    </row>
    <row r="14" spans="1:12" ht="18.75">
      <c r="A14" s="132"/>
      <c r="B14" s="117" t="s">
        <v>329</v>
      </c>
      <c r="C14" s="117"/>
      <c r="D14" s="117"/>
      <c r="E14" s="118" t="s">
        <v>330</v>
      </c>
      <c r="F14" s="130" t="e">
        <f>F15+F22</f>
        <v>#REF!</v>
      </c>
      <c r="G14" s="130" t="e">
        <f>G15+G22</f>
        <v>#REF!</v>
      </c>
      <c r="H14" s="130">
        <f>H15+H22</f>
        <v>6220.400000000001</v>
      </c>
      <c r="I14" s="130">
        <f>I15+I22</f>
        <v>6074.6</v>
      </c>
      <c r="J14" s="166">
        <f t="shared" si="0"/>
        <v>0.9765609928621953</v>
      </c>
      <c r="K14" s="223"/>
      <c r="L14" s="224"/>
    </row>
    <row r="15" spans="1:12" ht="18.75">
      <c r="A15" s="132"/>
      <c r="B15" s="132" t="s">
        <v>331</v>
      </c>
      <c r="C15" s="132" t="s">
        <v>308</v>
      </c>
      <c r="D15" s="132" t="s">
        <v>766</v>
      </c>
      <c r="E15" s="122" t="s">
        <v>309</v>
      </c>
      <c r="F15" s="130" t="e">
        <f>F16+F18+#REF!</f>
        <v>#REF!</v>
      </c>
      <c r="G15" s="130" t="e">
        <f>G16+G18+#REF!</f>
        <v>#REF!</v>
      </c>
      <c r="H15" s="130">
        <f>H16+H18</f>
        <v>6194.6</v>
      </c>
      <c r="I15" s="130">
        <f>I16+I18</f>
        <v>6048.900000000001</v>
      </c>
      <c r="J15" s="166">
        <f t="shared" si="0"/>
        <v>0.9764795144157815</v>
      </c>
      <c r="K15" s="223"/>
      <c r="L15" s="224"/>
    </row>
    <row r="16" spans="1:12" ht="18.75">
      <c r="A16" s="132"/>
      <c r="B16" s="132"/>
      <c r="C16" s="125" t="s">
        <v>313</v>
      </c>
      <c r="D16" s="125" t="s">
        <v>766</v>
      </c>
      <c r="E16" s="123" t="s">
        <v>314</v>
      </c>
      <c r="F16" s="115">
        <f>F17</f>
        <v>1774.6</v>
      </c>
      <c r="G16" s="115">
        <f>G17</f>
        <v>0</v>
      </c>
      <c r="H16" s="115">
        <f>H17</f>
        <v>1774.6</v>
      </c>
      <c r="I16" s="115">
        <f>I17</f>
        <v>1769.3</v>
      </c>
      <c r="J16" s="167">
        <f t="shared" si="0"/>
        <v>0.997013411473008</v>
      </c>
      <c r="K16" s="223"/>
      <c r="L16" s="224"/>
    </row>
    <row r="17" spans="1:12" ht="37.5">
      <c r="A17" s="125"/>
      <c r="B17" s="125"/>
      <c r="C17" s="125"/>
      <c r="D17" s="125" t="s">
        <v>46</v>
      </c>
      <c r="E17" s="124" t="s">
        <v>47</v>
      </c>
      <c r="F17" s="115">
        <v>1774.6</v>
      </c>
      <c r="G17" s="115"/>
      <c r="H17" s="115">
        <v>1774.6</v>
      </c>
      <c r="I17" s="115">
        <v>1769.3</v>
      </c>
      <c r="J17" s="167">
        <f t="shared" si="0"/>
        <v>0.997013411473008</v>
      </c>
      <c r="K17" s="223"/>
      <c r="L17" s="224"/>
    </row>
    <row r="18" spans="1:12" ht="18.75">
      <c r="A18" s="132"/>
      <c r="B18" s="132"/>
      <c r="C18" s="125" t="s">
        <v>327</v>
      </c>
      <c r="D18" s="125" t="s">
        <v>766</v>
      </c>
      <c r="E18" s="123" t="s">
        <v>45</v>
      </c>
      <c r="F18" s="115">
        <f>F19+F20+F21</f>
        <v>5370.000000000001</v>
      </c>
      <c r="G18" s="115">
        <f>G19+G20+G21</f>
        <v>0</v>
      </c>
      <c r="H18" s="115">
        <f>H19+H20+H21</f>
        <v>4420.000000000001</v>
      </c>
      <c r="I18" s="115">
        <f>I19+I20+I21</f>
        <v>4279.6</v>
      </c>
      <c r="J18" s="167">
        <f t="shared" si="0"/>
        <v>0.968235294117647</v>
      </c>
      <c r="K18" s="223"/>
      <c r="L18" s="224"/>
    </row>
    <row r="19" spans="1:12" ht="37.5">
      <c r="A19" s="125"/>
      <c r="B19" s="125"/>
      <c r="C19" s="125"/>
      <c r="D19" s="125" t="s">
        <v>46</v>
      </c>
      <c r="E19" s="124" t="s">
        <v>47</v>
      </c>
      <c r="F19" s="115">
        <f>3434.9+69.6+1037.3</f>
        <v>4541.8</v>
      </c>
      <c r="G19" s="115"/>
      <c r="H19" s="115">
        <v>3591.8</v>
      </c>
      <c r="I19" s="115">
        <v>3537.9</v>
      </c>
      <c r="J19" s="167">
        <f t="shared" si="0"/>
        <v>0.984993596525419</v>
      </c>
      <c r="K19" s="223"/>
      <c r="L19" s="224"/>
    </row>
    <row r="20" spans="1:12" ht="18.75">
      <c r="A20" s="125"/>
      <c r="B20" s="125"/>
      <c r="C20" s="125"/>
      <c r="D20" s="125" t="s">
        <v>27</v>
      </c>
      <c r="E20" s="124" t="s">
        <v>28</v>
      </c>
      <c r="F20" s="115">
        <f>142.9+661.2</f>
        <v>804.1</v>
      </c>
      <c r="G20" s="115"/>
      <c r="H20" s="115">
        <v>804.1</v>
      </c>
      <c r="I20" s="115">
        <v>717.6</v>
      </c>
      <c r="J20" s="167">
        <f t="shared" si="0"/>
        <v>0.8924263151349334</v>
      </c>
      <c r="K20" s="223"/>
      <c r="L20" s="224"/>
    </row>
    <row r="21" spans="1:12" ht="18.75">
      <c r="A21" s="125"/>
      <c r="B21" s="125"/>
      <c r="C21" s="125"/>
      <c r="D21" s="125" t="s">
        <v>62</v>
      </c>
      <c r="E21" s="124" t="s">
        <v>63</v>
      </c>
      <c r="F21" s="115">
        <v>24.1</v>
      </c>
      <c r="G21" s="115"/>
      <c r="H21" s="115">
        <v>24.1</v>
      </c>
      <c r="I21" s="115">
        <v>24.1</v>
      </c>
      <c r="J21" s="167">
        <f t="shared" si="0"/>
        <v>1</v>
      </c>
      <c r="K21" s="223"/>
      <c r="L21" s="224"/>
    </row>
    <row r="22" spans="1:12" ht="18.75">
      <c r="A22" s="125"/>
      <c r="B22" s="116" t="s">
        <v>333</v>
      </c>
      <c r="C22" s="117"/>
      <c r="D22" s="117"/>
      <c r="E22" s="118" t="s">
        <v>334</v>
      </c>
      <c r="F22" s="130">
        <f>F23</f>
        <v>40</v>
      </c>
      <c r="G22" s="130">
        <f aca="true" t="shared" si="1" ref="G22:I24">G23</f>
        <v>0</v>
      </c>
      <c r="H22" s="130">
        <f t="shared" si="1"/>
        <v>25.8</v>
      </c>
      <c r="I22" s="130">
        <f t="shared" si="1"/>
        <v>25.7</v>
      </c>
      <c r="J22" s="166">
        <f t="shared" si="0"/>
        <v>0.9961240310077519</v>
      </c>
      <c r="K22" s="223"/>
      <c r="L22" s="224"/>
    </row>
    <row r="23" spans="1:12" ht="18.75">
      <c r="A23" s="132"/>
      <c r="B23" s="132"/>
      <c r="C23" s="132" t="s">
        <v>321</v>
      </c>
      <c r="D23" s="132" t="s">
        <v>766</v>
      </c>
      <c r="E23" s="122" t="s">
        <v>322</v>
      </c>
      <c r="F23" s="130">
        <f>F24</f>
        <v>40</v>
      </c>
      <c r="G23" s="130">
        <f t="shared" si="1"/>
        <v>0</v>
      </c>
      <c r="H23" s="130">
        <f t="shared" si="1"/>
        <v>25.8</v>
      </c>
      <c r="I23" s="130">
        <f t="shared" si="1"/>
        <v>25.7</v>
      </c>
      <c r="J23" s="166">
        <f t="shared" si="0"/>
        <v>0.9961240310077519</v>
      </c>
      <c r="K23" s="223"/>
      <c r="L23" s="224"/>
    </row>
    <row r="24" spans="1:12" ht="34.5" customHeight="1">
      <c r="A24" s="132"/>
      <c r="B24" s="125"/>
      <c r="C24" s="125" t="s">
        <v>323</v>
      </c>
      <c r="D24" s="125" t="s">
        <v>766</v>
      </c>
      <c r="E24" s="123" t="s">
        <v>507</v>
      </c>
      <c r="F24" s="115">
        <f>F25</f>
        <v>40</v>
      </c>
      <c r="G24" s="115">
        <f t="shared" si="1"/>
        <v>0</v>
      </c>
      <c r="H24" s="115">
        <f t="shared" si="1"/>
        <v>25.8</v>
      </c>
      <c r="I24" s="115">
        <f t="shared" si="1"/>
        <v>25.7</v>
      </c>
      <c r="J24" s="167">
        <f t="shared" si="0"/>
        <v>0.9961240310077519</v>
      </c>
      <c r="K24" s="223"/>
      <c r="L24" s="224"/>
    </row>
    <row r="25" spans="1:12" ht="18.75">
      <c r="A25" s="125"/>
      <c r="B25" s="125"/>
      <c r="C25" s="125"/>
      <c r="D25" s="125" t="s">
        <v>27</v>
      </c>
      <c r="E25" s="124" t="s">
        <v>28</v>
      </c>
      <c r="F25" s="115">
        <v>40</v>
      </c>
      <c r="G25" s="115"/>
      <c r="H25" s="115">
        <v>25.8</v>
      </c>
      <c r="I25" s="115">
        <v>25.7</v>
      </c>
      <c r="J25" s="167">
        <f t="shared" si="0"/>
        <v>0.9961240310077519</v>
      </c>
      <c r="K25" s="223"/>
      <c r="L25" s="224"/>
    </row>
    <row r="26" spans="1:12" s="7" customFormat="1" ht="18.75">
      <c r="A26" s="132"/>
      <c r="B26" s="117" t="s">
        <v>374</v>
      </c>
      <c r="C26" s="128"/>
      <c r="D26" s="128"/>
      <c r="E26" s="118" t="s">
        <v>375</v>
      </c>
      <c r="F26" s="130">
        <f>F27</f>
        <v>35.5</v>
      </c>
      <c r="G26" s="130">
        <f aca="true" t="shared" si="2" ref="G26:I29">G27</f>
        <v>0</v>
      </c>
      <c r="H26" s="130">
        <f t="shared" si="2"/>
        <v>35.5</v>
      </c>
      <c r="I26" s="130">
        <f t="shared" si="2"/>
        <v>35.5</v>
      </c>
      <c r="J26" s="166">
        <f t="shared" si="0"/>
        <v>1</v>
      </c>
      <c r="K26" s="223"/>
      <c r="L26" s="224"/>
    </row>
    <row r="27" spans="1:12" s="7" customFormat="1" ht="18.75">
      <c r="A27" s="132"/>
      <c r="B27" s="132" t="s">
        <v>887</v>
      </c>
      <c r="C27" s="132"/>
      <c r="D27" s="132"/>
      <c r="E27" s="134" t="s">
        <v>888</v>
      </c>
      <c r="F27" s="130">
        <f>F28</f>
        <v>35.5</v>
      </c>
      <c r="G27" s="130">
        <f t="shared" si="2"/>
        <v>0</v>
      </c>
      <c r="H27" s="130">
        <f t="shared" si="2"/>
        <v>35.5</v>
      </c>
      <c r="I27" s="130">
        <f t="shared" si="2"/>
        <v>35.5</v>
      </c>
      <c r="J27" s="166">
        <f t="shared" si="0"/>
        <v>1</v>
      </c>
      <c r="K27" s="223"/>
      <c r="L27" s="224"/>
    </row>
    <row r="28" spans="1:12" ht="18.75">
      <c r="A28" s="125"/>
      <c r="B28" s="125"/>
      <c r="C28" s="132" t="s">
        <v>308</v>
      </c>
      <c r="D28" s="132" t="s">
        <v>766</v>
      </c>
      <c r="E28" s="122" t="s">
        <v>309</v>
      </c>
      <c r="F28" s="115">
        <f>F29</f>
        <v>35.5</v>
      </c>
      <c r="G28" s="115">
        <f t="shared" si="2"/>
        <v>0</v>
      </c>
      <c r="H28" s="115">
        <f t="shared" si="2"/>
        <v>35.5</v>
      </c>
      <c r="I28" s="115">
        <f t="shared" si="2"/>
        <v>35.5</v>
      </c>
      <c r="J28" s="167">
        <f t="shared" si="0"/>
        <v>1</v>
      </c>
      <c r="K28" s="223"/>
      <c r="L28" s="224"/>
    </row>
    <row r="29" spans="1:12" ht="18.75">
      <c r="A29" s="125"/>
      <c r="B29" s="125"/>
      <c r="C29" s="125" t="s">
        <v>327</v>
      </c>
      <c r="D29" s="125" t="s">
        <v>766</v>
      </c>
      <c r="E29" s="123" t="s">
        <v>45</v>
      </c>
      <c r="F29" s="115">
        <f>F30</f>
        <v>35.5</v>
      </c>
      <c r="G29" s="115">
        <f t="shared" si="2"/>
        <v>0</v>
      </c>
      <c r="H29" s="115">
        <f t="shared" si="2"/>
        <v>35.5</v>
      </c>
      <c r="I29" s="115">
        <f t="shared" si="2"/>
        <v>35.5</v>
      </c>
      <c r="J29" s="167">
        <f t="shared" si="0"/>
        <v>1</v>
      </c>
      <c r="K29" s="223"/>
      <c r="L29" s="224"/>
    </row>
    <row r="30" spans="1:12" ht="18.75">
      <c r="A30" s="125"/>
      <c r="B30" s="125"/>
      <c r="C30" s="125"/>
      <c r="D30" s="125" t="s">
        <v>27</v>
      </c>
      <c r="E30" s="124" t="s">
        <v>28</v>
      </c>
      <c r="F30" s="115">
        <v>35.5</v>
      </c>
      <c r="G30" s="115"/>
      <c r="H30" s="115">
        <v>35.5</v>
      </c>
      <c r="I30" s="115">
        <v>35.5</v>
      </c>
      <c r="J30" s="167">
        <f t="shared" si="0"/>
        <v>1</v>
      </c>
      <c r="K30" s="223"/>
      <c r="L30" s="224"/>
    </row>
    <row r="31" spans="1:12" ht="18.75">
      <c r="A31" s="125"/>
      <c r="B31" s="125"/>
      <c r="C31" s="125"/>
      <c r="D31" s="125"/>
      <c r="E31" s="123"/>
      <c r="F31" s="130"/>
      <c r="G31" s="130"/>
      <c r="H31" s="130"/>
      <c r="I31" s="130"/>
      <c r="J31" s="130"/>
      <c r="K31" s="223"/>
      <c r="L31" s="224"/>
    </row>
    <row r="32" spans="1:12" ht="18.75">
      <c r="A32" s="162" t="s">
        <v>335</v>
      </c>
      <c r="B32" s="162" t="s">
        <v>766</v>
      </c>
      <c r="C32" s="162" t="s">
        <v>766</v>
      </c>
      <c r="D32" s="162" t="s">
        <v>766</v>
      </c>
      <c r="E32" s="163" t="s">
        <v>11</v>
      </c>
      <c r="F32" s="164" t="e">
        <f>F33+F55</f>
        <v>#REF!</v>
      </c>
      <c r="G32" s="164" t="e">
        <f>G33+G55</f>
        <v>#REF!</v>
      </c>
      <c r="H32" s="164">
        <f>H33+H55</f>
        <v>12156.8</v>
      </c>
      <c r="I32" s="164">
        <f>I33+I55</f>
        <v>11722.999999999998</v>
      </c>
      <c r="J32" s="165">
        <f aca="true" t="shared" si="3" ref="J32:J59">I32/H32</f>
        <v>0.9643162674387996</v>
      </c>
      <c r="K32" s="223"/>
      <c r="L32" s="224"/>
    </row>
    <row r="33" spans="1:12" ht="18.75">
      <c r="A33" s="132"/>
      <c r="B33" s="117" t="s">
        <v>329</v>
      </c>
      <c r="C33" s="117"/>
      <c r="D33" s="117"/>
      <c r="E33" s="118" t="s">
        <v>330</v>
      </c>
      <c r="F33" s="130" t="e">
        <f>F34+F51</f>
        <v>#REF!</v>
      </c>
      <c r="G33" s="130" t="e">
        <f>G34+G51</f>
        <v>#REF!</v>
      </c>
      <c r="H33" s="130">
        <f>H34+H51</f>
        <v>12140.699999999999</v>
      </c>
      <c r="I33" s="130">
        <f>I34+I51</f>
        <v>11706.899999999998</v>
      </c>
      <c r="J33" s="166">
        <f t="shared" si="3"/>
        <v>0.964268946601102</v>
      </c>
      <c r="K33" s="223"/>
      <c r="L33" s="224"/>
    </row>
    <row r="34" spans="1:12" ht="37.5">
      <c r="A34" s="132"/>
      <c r="B34" s="116" t="s">
        <v>336</v>
      </c>
      <c r="C34" s="117"/>
      <c r="D34" s="117"/>
      <c r="E34" s="118" t="s">
        <v>337</v>
      </c>
      <c r="F34" s="130" t="e">
        <f>F35</f>
        <v>#REF!</v>
      </c>
      <c r="G34" s="130" t="e">
        <f>G35</f>
        <v>#REF!</v>
      </c>
      <c r="H34" s="130">
        <f>H35</f>
        <v>11800.699999999999</v>
      </c>
      <c r="I34" s="130">
        <f>I35</f>
        <v>11381.499999999998</v>
      </c>
      <c r="J34" s="166">
        <f t="shared" si="3"/>
        <v>0.9644766835865668</v>
      </c>
      <c r="K34" s="223"/>
      <c r="L34" s="224"/>
    </row>
    <row r="35" spans="1:12" ht="18.75">
      <c r="A35" s="132"/>
      <c r="B35" s="132"/>
      <c r="C35" s="132" t="s">
        <v>308</v>
      </c>
      <c r="D35" s="132" t="s">
        <v>766</v>
      </c>
      <c r="E35" s="122" t="s">
        <v>309</v>
      </c>
      <c r="F35" s="130" t="e">
        <f>F36+F38+F42+F44+F47+F49</f>
        <v>#REF!</v>
      </c>
      <c r="G35" s="130" t="e">
        <f>G36+G38+G42+G44+G47+G49</f>
        <v>#REF!</v>
      </c>
      <c r="H35" s="130">
        <f>H36+H38+H42+H44+H47+H49</f>
        <v>11800.699999999999</v>
      </c>
      <c r="I35" s="130">
        <f>I36+I38+I42+I44+I47+I49</f>
        <v>11381.499999999998</v>
      </c>
      <c r="J35" s="166">
        <f t="shared" si="3"/>
        <v>0.9644766835865668</v>
      </c>
      <c r="K35" s="223"/>
      <c r="L35" s="224"/>
    </row>
    <row r="36" spans="1:12" ht="18.75">
      <c r="A36" s="125"/>
      <c r="B36" s="125"/>
      <c r="C36" s="125" t="s">
        <v>311</v>
      </c>
      <c r="D36" s="125" t="s">
        <v>766</v>
      </c>
      <c r="E36" s="123" t="s">
        <v>312</v>
      </c>
      <c r="F36" s="115">
        <f>F37</f>
        <v>2347.7</v>
      </c>
      <c r="G36" s="115">
        <f>G37</f>
        <v>0</v>
      </c>
      <c r="H36" s="115">
        <f>H37</f>
        <v>1935.9</v>
      </c>
      <c r="I36" s="115">
        <f>I37</f>
        <v>1935.9</v>
      </c>
      <c r="J36" s="167">
        <f t="shared" si="3"/>
        <v>1</v>
      </c>
      <c r="K36" s="223"/>
      <c r="L36" s="224"/>
    </row>
    <row r="37" spans="1:12" ht="37.5">
      <c r="A37" s="125"/>
      <c r="B37" s="125"/>
      <c r="C37" s="125"/>
      <c r="D37" s="125" t="s">
        <v>46</v>
      </c>
      <c r="E37" s="124" t="s">
        <v>47</v>
      </c>
      <c r="F37" s="115">
        <v>2347.7</v>
      </c>
      <c r="G37" s="115"/>
      <c r="H37" s="115">
        <v>1935.9</v>
      </c>
      <c r="I37" s="115">
        <v>1935.9</v>
      </c>
      <c r="J37" s="167">
        <f t="shared" si="3"/>
        <v>1</v>
      </c>
      <c r="K37" s="223"/>
      <c r="L37" s="224"/>
    </row>
    <row r="38" spans="1:12" ht="18.75">
      <c r="A38" s="125"/>
      <c r="B38" s="125"/>
      <c r="C38" s="125" t="s">
        <v>327</v>
      </c>
      <c r="D38" s="125" t="s">
        <v>766</v>
      </c>
      <c r="E38" s="123" t="s">
        <v>767</v>
      </c>
      <c r="F38" s="115">
        <f>F39+F40+F41</f>
        <v>4790.5</v>
      </c>
      <c r="G38" s="115">
        <f>G39+G40+G41</f>
        <v>0</v>
      </c>
      <c r="H38" s="115">
        <f>H39+H40+H41</f>
        <v>4888.8</v>
      </c>
      <c r="I38" s="115">
        <f>I39+I40+I41</f>
        <v>4842.2</v>
      </c>
      <c r="J38" s="167">
        <f t="shared" si="3"/>
        <v>0.9904680085092455</v>
      </c>
      <c r="K38" s="223"/>
      <c r="L38" s="224"/>
    </row>
    <row r="39" spans="1:12" ht="37.5">
      <c r="A39" s="125"/>
      <c r="B39" s="125"/>
      <c r="C39" s="125"/>
      <c r="D39" s="125" t="s">
        <v>46</v>
      </c>
      <c r="E39" s="124" t="s">
        <v>47</v>
      </c>
      <c r="F39" s="115">
        <f>2897.6+48.5+875.1</f>
        <v>3821.2</v>
      </c>
      <c r="G39" s="115"/>
      <c r="H39" s="115">
        <v>4193.3</v>
      </c>
      <c r="I39" s="115">
        <v>4192.8</v>
      </c>
      <c r="J39" s="167">
        <f t="shared" si="3"/>
        <v>0.9998807621682207</v>
      </c>
      <c r="K39" s="223"/>
      <c r="L39" s="224"/>
    </row>
    <row r="40" spans="1:12" ht="18.75">
      <c r="A40" s="125"/>
      <c r="B40" s="125"/>
      <c r="C40" s="125"/>
      <c r="D40" s="125" t="s">
        <v>27</v>
      </c>
      <c r="E40" s="124" t="s">
        <v>28</v>
      </c>
      <c r="F40" s="115">
        <f>440+528.6</f>
        <v>968.6</v>
      </c>
      <c r="G40" s="115"/>
      <c r="H40" s="115">
        <v>695.3</v>
      </c>
      <c r="I40" s="115">
        <v>649.2</v>
      </c>
      <c r="J40" s="167">
        <f t="shared" si="3"/>
        <v>0.9336976844527544</v>
      </c>
      <c r="K40" s="223"/>
      <c r="L40" s="224"/>
    </row>
    <row r="41" spans="1:12" ht="18.75">
      <c r="A41" s="125"/>
      <c r="B41" s="125"/>
      <c r="C41" s="125"/>
      <c r="D41" s="125" t="s">
        <v>62</v>
      </c>
      <c r="E41" s="124" t="s">
        <v>63</v>
      </c>
      <c r="F41" s="115">
        <v>0.7</v>
      </c>
      <c r="G41" s="115"/>
      <c r="H41" s="115">
        <v>0.2</v>
      </c>
      <c r="I41" s="115">
        <v>0.2</v>
      </c>
      <c r="J41" s="167">
        <f t="shared" si="3"/>
        <v>1</v>
      </c>
      <c r="K41" s="223"/>
      <c r="L41" s="224"/>
    </row>
    <row r="42" spans="1:12" ht="18.75">
      <c r="A42" s="125"/>
      <c r="B42" s="125"/>
      <c r="C42" s="125" t="s">
        <v>315</v>
      </c>
      <c r="D42" s="125" t="s">
        <v>766</v>
      </c>
      <c r="E42" s="123" t="s">
        <v>316</v>
      </c>
      <c r="F42" s="115">
        <f>F43</f>
        <v>1618.3</v>
      </c>
      <c r="G42" s="115">
        <f>G43</f>
        <v>0</v>
      </c>
      <c r="H42" s="115">
        <f>H43</f>
        <v>1543.3</v>
      </c>
      <c r="I42" s="115">
        <f>I43</f>
        <v>1543.3</v>
      </c>
      <c r="J42" s="167">
        <f t="shared" si="3"/>
        <v>1</v>
      </c>
      <c r="K42" s="223"/>
      <c r="L42" s="224"/>
    </row>
    <row r="43" spans="1:12" ht="37.5">
      <c r="A43" s="125"/>
      <c r="B43" s="125"/>
      <c r="C43" s="125"/>
      <c r="D43" s="125" t="s">
        <v>46</v>
      </c>
      <c r="E43" s="124" t="s">
        <v>47</v>
      </c>
      <c r="F43" s="115">
        <v>1618.3</v>
      </c>
      <c r="G43" s="115"/>
      <c r="H43" s="115">
        <v>1543.3</v>
      </c>
      <c r="I43" s="115">
        <v>1543.3</v>
      </c>
      <c r="J43" s="167">
        <f t="shared" si="3"/>
        <v>1</v>
      </c>
      <c r="K43" s="223"/>
      <c r="L43" s="224"/>
    </row>
    <row r="44" spans="1:12" ht="18.75">
      <c r="A44" s="125"/>
      <c r="B44" s="125"/>
      <c r="C44" s="125" t="s">
        <v>317</v>
      </c>
      <c r="D44" s="125" t="s">
        <v>766</v>
      </c>
      <c r="E44" s="123" t="s">
        <v>505</v>
      </c>
      <c r="F44" s="115" t="e">
        <f>F45+F46+#REF!</f>
        <v>#REF!</v>
      </c>
      <c r="G44" s="115" t="e">
        <f>G45+G46+#REF!</f>
        <v>#REF!</v>
      </c>
      <c r="H44" s="115">
        <f>H45+H46</f>
        <v>1510.8999999999999</v>
      </c>
      <c r="I44" s="115">
        <f>I45+I46</f>
        <v>1143.3</v>
      </c>
      <c r="J44" s="167">
        <f t="shared" si="3"/>
        <v>0.7567013038586273</v>
      </c>
      <c r="K44" s="223"/>
      <c r="L44" s="224"/>
    </row>
    <row r="45" spans="1:12" ht="37.5">
      <c r="A45" s="125"/>
      <c r="B45" s="125"/>
      <c r="C45" s="125"/>
      <c r="D45" s="125" t="s">
        <v>46</v>
      </c>
      <c r="E45" s="124" t="s">
        <v>47</v>
      </c>
      <c r="F45" s="115">
        <v>533.6</v>
      </c>
      <c r="G45" s="115"/>
      <c r="H45" s="115">
        <v>1471.3</v>
      </c>
      <c r="I45" s="115">
        <v>1103.7</v>
      </c>
      <c r="J45" s="167">
        <f t="shared" si="3"/>
        <v>0.7501529259838239</v>
      </c>
      <c r="K45" s="223"/>
      <c r="L45" s="224"/>
    </row>
    <row r="46" spans="1:12" ht="18.75">
      <c r="A46" s="125"/>
      <c r="B46" s="125"/>
      <c r="C46" s="125"/>
      <c r="D46" s="125" t="s">
        <v>27</v>
      </c>
      <c r="E46" s="124" t="s">
        <v>28</v>
      </c>
      <c r="F46" s="115">
        <v>375</v>
      </c>
      <c r="G46" s="115"/>
      <c r="H46" s="115">
        <v>39.6</v>
      </c>
      <c r="I46" s="115">
        <v>39.6</v>
      </c>
      <c r="J46" s="167">
        <f t="shared" si="3"/>
        <v>1</v>
      </c>
      <c r="K46" s="223"/>
      <c r="L46" s="224"/>
    </row>
    <row r="47" spans="1:12" ht="18.75">
      <c r="A47" s="125"/>
      <c r="B47" s="125"/>
      <c r="C47" s="125" t="s">
        <v>320</v>
      </c>
      <c r="D47" s="125" t="s">
        <v>766</v>
      </c>
      <c r="E47" s="123" t="s">
        <v>506</v>
      </c>
      <c r="F47" s="115">
        <f>F48</f>
        <v>120</v>
      </c>
      <c r="G47" s="115">
        <f>G48</f>
        <v>0</v>
      </c>
      <c r="H47" s="115">
        <f>H48</f>
        <v>45</v>
      </c>
      <c r="I47" s="115">
        <f>I48</f>
        <v>40</v>
      </c>
      <c r="J47" s="167">
        <f t="shared" si="3"/>
        <v>0.8888888888888888</v>
      </c>
      <c r="K47" s="223"/>
      <c r="L47" s="224"/>
    </row>
    <row r="48" spans="1:12" ht="18.75">
      <c r="A48" s="125"/>
      <c r="B48" s="125"/>
      <c r="C48" s="125"/>
      <c r="D48" s="125" t="s">
        <v>27</v>
      </c>
      <c r="E48" s="124" t="s">
        <v>28</v>
      </c>
      <c r="F48" s="115">
        <v>120</v>
      </c>
      <c r="G48" s="115"/>
      <c r="H48" s="115">
        <v>45</v>
      </c>
      <c r="I48" s="115">
        <v>40</v>
      </c>
      <c r="J48" s="167">
        <f t="shared" si="3"/>
        <v>0.8888888888888888</v>
      </c>
      <c r="K48" s="223"/>
      <c r="L48" s="224"/>
    </row>
    <row r="49" spans="1:12" ht="18.75">
      <c r="A49" s="125"/>
      <c r="B49" s="125"/>
      <c r="C49" s="125" t="s">
        <v>318</v>
      </c>
      <c r="D49" s="125" t="s">
        <v>766</v>
      </c>
      <c r="E49" s="123" t="s">
        <v>319</v>
      </c>
      <c r="F49" s="115">
        <f>F50</f>
        <v>1904.4</v>
      </c>
      <c r="G49" s="115">
        <f>G50</f>
        <v>0</v>
      </c>
      <c r="H49" s="115">
        <f>H50</f>
        <v>1876.8</v>
      </c>
      <c r="I49" s="115">
        <f>I50</f>
        <v>1876.8</v>
      </c>
      <c r="J49" s="167">
        <f t="shared" si="3"/>
        <v>1</v>
      </c>
      <c r="K49" s="223"/>
      <c r="L49" s="224"/>
    </row>
    <row r="50" spans="1:12" ht="18.75">
      <c r="A50" s="125"/>
      <c r="B50" s="125"/>
      <c r="C50" s="125"/>
      <c r="D50" s="125" t="s">
        <v>32</v>
      </c>
      <c r="E50" s="124" t="s">
        <v>33</v>
      </c>
      <c r="F50" s="115">
        <v>1904.4</v>
      </c>
      <c r="G50" s="115"/>
      <c r="H50" s="115">
        <v>1876.8</v>
      </c>
      <c r="I50" s="115">
        <v>1876.8</v>
      </c>
      <c r="J50" s="167">
        <f t="shared" si="3"/>
        <v>1</v>
      </c>
      <c r="K50" s="223"/>
      <c r="L50" s="224"/>
    </row>
    <row r="51" spans="1:12" ht="18.75">
      <c r="A51" s="125"/>
      <c r="B51" s="116" t="s">
        <v>333</v>
      </c>
      <c r="C51" s="117"/>
      <c r="D51" s="117"/>
      <c r="E51" s="118" t="s">
        <v>334</v>
      </c>
      <c r="F51" s="130">
        <f>F52</f>
        <v>760</v>
      </c>
      <c r="G51" s="130">
        <f aca="true" t="shared" si="4" ref="G51:I53">G52</f>
        <v>-420</v>
      </c>
      <c r="H51" s="130">
        <f t="shared" si="4"/>
        <v>340</v>
      </c>
      <c r="I51" s="130">
        <f t="shared" si="4"/>
        <v>325.4</v>
      </c>
      <c r="J51" s="166">
        <f t="shared" si="3"/>
        <v>0.9570588235294117</v>
      </c>
      <c r="K51" s="223"/>
      <c r="L51" s="224"/>
    </row>
    <row r="52" spans="1:12" ht="18.75">
      <c r="A52" s="132"/>
      <c r="B52" s="132"/>
      <c r="C52" s="132" t="s">
        <v>321</v>
      </c>
      <c r="D52" s="132" t="s">
        <v>766</v>
      </c>
      <c r="E52" s="122" t="s">
        <v>322</v>
      </c>
      <c r="F52" s="130">
        <f>F53</f>
        <v>760</v>
      </c>
      <c r="G52" s="130">
        <f t="shared" si="4"/>
        <v>-420</v>
      </c>
      <c r="H52" s="130">
        <f t="shared" si="4"/>
        <v>340</v>
      </c>
      <c r="I52" s="130">
        <f t="shared" si="4"/>
        <v>325.4</v>
      </c>
      <c r="J52" s="166">
        <f t="shared" si="3"/>
        <v>0.9570588235294117</v>
      </c>
      <c r="K52" s="223"/>
      <c r="L52" s="224"/>
    </row>
    <row r="53" spans="1:12" ht="37.5">
      <c r="A53" s="132"/>
      <c r="B53" s="132"/>
      <c r="C53" s="125" t="s">
        <v>323</v>
      </c>
      <c r="D53" s="125" t="s">
        <v>766</v>
      </c>
      <c r="E53" s="123" t="s">
        <v>507</v>
      </c>
      <c r="F53" s="115">
        <f>F54</f>
        <v>760</v>
      </c>
      <c r="G53" s="115">
        <f t="shared" si="4"/>
        <v>-420</v>
      </c>
      <c r="H53" s="115">
        <f t="shared" si="4"/>
        <v>340</v>
      </c>
      <c r="I53" s="115">
        <f t="shared" si="4"/>
        <v>325.4</v>
      </c>
      <c r="J53" s="167">
        <f t="shared" si="3"/>
        <v>0.9570588235294117</v>
      </c>
      <c r="K53" s="223"/>
      <c r="L53" s="224"/>
    </row>
    <row r="54" spans="1:12" ht="18.75">
      <c r="A54" s="125"/>
      <c r="B54" s="125"/>
      <c r="C54" s="125"/>
      <c r="D54" s="125" t="s">
        <v>27</v>
      </c>
      <c r="E54" s="124" t="s">
        <v>28</v>
      </c>
      <c r="F54" s="115">
        <v>760</v>
      </c>
      <c r="G54" s="115">
        <v>-420</v>
      </c>
      <c r="H54" s="115">
        <f>SUM(F54:G54)</f>
        <v>340</v>
      </c>
      <c r="I54" s="115">
        <v>325.4</v>
      </c>
      <c r="J54" s="167">
        <f t="shared" si="3"/>
        <v>0.9570588235294117</v>
      </c>
      <c r="K54" s="223"/>
      <c r="L54" s="224"/>
    </row>
    <row r="55" spans="1:12" s="7" customFormat="1" ht="18.75">
      <c r="A55" s="132"/>
      <c r="B55" s="117" t="s">
        <v>374</v>
      </c>
      <c r="C55" s="128"/>
      <c r="D55" s="128"/>
      <c r="E55" s="118" t="s">
        <v>375</v>
      </c>
      <c r="F55" s="130">
        <f>F56</f>
        <v>35</v>
      </c>
      <c r="G55" s="130">
        <f aca="true" t="shared" si="5" ref="G55:I58">G56</f>
        <v>0</v>
      </c>
      <c r="H55" s="130">
        <f t="shared" si="5"/>
        <v>16.1</v>
      </c>
      <c r="I55" s="130">
        <f t="shared" si="5"/>
        <v>16.1</v>
      </c>
      <c r="J55" s="166">
        <f t="shared" si="3"/>
        <v>1</v>
      </c>
      <c r="K55" s="223"/>
      <c r="L55" s="224"/>
    </row>
    <row r="56" spans="1:12" s="7" customFormat="1" ht="18.75">
      <c r="A56" s="132"/>
      <c r="B56" s="132" t="s">
        <v>887</v>
      </c>
      <c r="C56" s="132"/>
      <c r="D56" s="132"/>
      <c r="E56" s="134" t="s">
        <v>888</v>
      </c>
      <c r="F56" s="130">
        <f>F57</f>
        <v>35</v>
      </c>
      <c r="G56" s="130">
        <f t="shared" si="5"/>
        <v>0</v>
      </c>
      <c r="H56" s="130">
        <f t="shared" si="5"/>
        <v>16.1</v>
      </c>
      <c r="I56" s="130">
        <f t="shared" si="5"/>
        <v>16.1</v>
      </c>
      <c r="J56" s="166">
        <f t="shared" si="3"/>
        <v>1</v>
      </c>
      <c r="K56" s="223"/>
      <c r="L56" s="224"/>
    </row>
    <row r="57" spans="1:12" ht="18.75">
      <c r="A57" s="125"/>
      <c r="B57" s="125"/>
      <c r="C57" s="132" t="s">
        <v>308</v>
      </c>
      <c r="D57" s="132" t="s">
        <v>766</v>
      </c>
      <c r="E57" s="122" t="s">
        <v>309</v>
      </c>
      <c r="F57" s="115">
        <f>F58</f>
        <v>35</v>
      </c>
      <c r="G57" s="115">
        <f t="shared" si="5"/>
        <v>0</v>
      </c>
      <c r="H57" s="115">
        <f t="shared" si="5"/>
        <v>16.1</v>
      </c>
      <c r="I57" s="115">
        <f t="shared" si="5"/>
        <v>16.1</v>
      </c>
      <c r="J57" s="167">
        <f t="shared" si="3"/>
        <v>1</v>
      </c>
      <c r="K57" s="223"/>
      <c r="L57" s="224"/>
    </row>
    <row r="58" spans="1:12" ht="18.75">
      <c r="A58" s="125"/>
      <c r="B58" s="125"/>
      <c r="C58" s="125" t="s">
        <v>327</v>
      </c>
      <c r="D58" s="125" t="s">
        <v>766</v>
      </c>
      <c r="E58" s="123" t="s">
        <v>45</v>
      </c>
      <c r="F58" s="115">
        <f>F59</f>
        <v>35</v>
      </c>
      <c r="G58" s="115">
        <f t="shared" si="5"/>
        <v>0</v>
      </c>
      <c r="H58" s="115">
        <f t="shared" si="5"/>
        <v>16.1</v>
      </c>
      <c r="I58" s="115">
        <f t="shared" si="5"/>
        <v>16.1</v>
      </c>
      <c r="J58" s="167">
        <f t="shared" si="3"/>
        <v>1</v>
      </c>
      <c r="K58" s="223"/>
      <c r="L58" s="224"/>
    </row>
    <row r="59" spans="1:12" ht="18.75">
      <c r="A59" s="125"/>
      <c r="B59" s="125"/>
      <c r="C59" s="125"/>
      <c r="D59" s="125" t="s">
        <v>27</v>
      </c>
      <c r="E59" s="124" t="s">
        <v>28</v>
      </c>
      <c r="F59" s="115">
        <v>35</v>
      </c>
      <c r="G59" s="115"/>
      <c r="H59" s="115">
        <v>16.1</v>
      </c>
      <c r="I59" s="115">
        <v>16.1</v>
      </c>
      <c r="J59" s="167">
        <f t="shared" si="3"/>
        <v>1</v>
      </c>
      <c r="K59" s="223"/>
      <c r="L59" s="224"/>
    </row>
    <row r="60" spans="1:12" ht="18.75">
      <c r="A60" s="125"/>
      <c r="B60" s="125"/>
      <c r="C60" s="125"/>
      <c r="D60" s="125"/>
      <c r="E60" s="123"/>
      <c r="F60" s="115"/>
      <c r="G60" s="115"/>
      <c r="H60" s="115"/>
      <c r="I60" s="115"/>
      <c r="J60" s="115"/>
      <c r="K60" s="223"/>
      <c r="L60" s="224"/>
    </row>
    <row r="61" spans="1:12" ht="18.75">
      <c r="A61" s="162" t="s">
        <v>338</v>
      </c>
      <c r="B61" s="162" t="s">
        <v>766</v>
      </c>
      <c r="C61" s="162" t="s">
        <v>766</v>
      </c>
      <c r="D61" s="162" t="s">
        <v>766</v>
      </c>
      <c r="E61" s="163" t="s">
        <v>12</v>
      </c>
      <c r="F61" s="164" t="e">
        <f>F62+F174+F217+F259+F376+F388+F432+F456+F506+F445</f>
        <v>#REF!</v>
      </c>
      <c r="G61" s="164" t="e">
        <f>G62+G174+G217+G259+G376+G388+G432+G456+G506+G445</f>
        <v>#REF!</v>
      </c>
      <c r="H61" s="164">
        <f>H62+H174+H217+H259+H376+H388+H432+H456+H506+H445</f>
        <v>1052082.5078999999</v>
      </c>
      <c r="I61" s="164">
        <f>I62+I174+I217+I259+I376+I388+I432+I456+I506+I445</f>
        <v>883150.3920900002</v>
      </c>
      <c r="J61" s="165">
        <f aca="true" t="shared" si="6" ref="J61:J124">I61/H61</f>
        <v>0.8394307342423218</v>
      </c>
      <c r="K61" s="223"/>
      <c r="L61" s="224"/>
    </row>
    <row r="62" spans="1:12" ht="18.75">
      <c r="A62" s="132"/>
      <c r="B62" s="117" t="s">
        <v>329</v>
      </c>
      <c r="C62" s="117"/>
      <c r="D62" s="117"/>
      <c r="E62" s="118" t="s">
        <v>330</v>
      </c>
      <c r="F62" s="130" t="e">
        <f>F63+F67+#REF!+F104+F94</f>
        <v>#REF!</v>
      </c>
      <c r="G62" s="130" t="e">
        <f>G63+G67+#REF!+G104+G94</f>
        <v>#REF!</v>
      </c>
      <c r="H62" s="130">
        <f>H63+H67+H104+H94+H100</f>
        <v>138644.15574</v>
      </c>
      <c r="I62" s="130">
        <f>I63+I67+I104+I94+I100</f>
        <v>132590.5</v>
      </c>
      <c r="J62" s="166">
        <f t="shared" si="6"/>
        <v>0.9563367405738152</v>
      </c>
      <c r="K62" s="223"/>
      <c r="L62" s="224"/>
    </row>
    <row r="63" spans="1:12" ht="18.75">
      <c r="A63" s="132"/>
      <c r="B63" s="116" t="s">
        <v>339</v>
      </c>
      <c r="C63" s="117"/>
      <c r="D63" s="117"/>
      <c r="E63" s="118" t="s">
        <v>340</v>
      </c>
      <c r="F63" s="130">
        <f>F64</f>
        <v>3003.6</v>
      </c>
      <c r="G63" s="130">
        <f aca="true" t="shared" si="7" ref="G63:I65">G64</f>
        <v>0</v>
      </c>
      <c r="H63" s="130">
        <f t="shared" si="7"/>
        <v>3003.6</v>
      </c>
      <c r="I63" s="130">
        <f t="shared" si="7"/>
        <v>3003.6</v>
      </c>
      <c r="J63" s="166">
        <f t="shared" si="6"/>
        <v>1</v>
      </c>
      <c r="K63" s="223"/>
      <c r="L63" s="224"/>
    </row>
    <row r="64" spans="1:12" ht="18.75">
      <c r="A64" s="132"/>
      <c r="B64" s="132"/>
      <c r="C64" s="132" t="s">
        <v>308</v>
      </c>
      <c r="D64" s="132" t="s">
        <v>766</v>
      </c>
      <c r="E64" s="122" t="s">
        <v>309</v>
      </c>
      <c r="F64" s="130">
        <f>F65</f>
        <v>3003.6</v>
      </c>
      <c r="G64" s="130">
        <f t="shared" si="7"/>
        <v>0</v>
      </c>
      <c r="H64" s="130">
        <f t="shared" si="7"/>
        <v>3003.6</v>
      </c>
      <c r="I64" s="130">
        <f t="shared" si="7"/>
        <v>3003.6</v>
      </c>
      <c r="J64" s="166">
        <f t="shared" si="6"/>
        <v>1</v>
      </c>
      <c r="K64" s="223"/>
      <c r="L64" s="224"/>
    </row>
    <row r="65" spans="1:12" ht="18.75">
      <c r="A65" s="132"/>
      <c r="B65" s="132"/>
      <c r="C65" s="125" t="s">
        <v>310</v>
      </c>
      <c r="D65" s="125" t="s">
        <v>766</v>
      </c>
      <c r="E65" s="123" t="s">
        <v>890</v>
      </c>
      <c r="F65" s="115">
        <f>F66</f>
        <v>3003.6</v>
      </c>
      <c r="G65" s="115">
        <f t="shared" si="7"/>
        <v>0</v>
      </c>
      <c r="H65" s="115">
        <f t="shared" si="7"/>
        <v>3003.6</v>
      </c>
      <c r="I65" s="115">
        <f>I66</f>
        <v>3003.6</v>
      </c>
      <c r="J65" s="167">
        <f t="shared" si="6"/>
        <v>1</v>
      </c>
      <c r="K65" s="223"/>
      <c r="L65" s="224"/>
    </row>
    <row r="66" spans="1:12" ht="37.5">
      <c r="A66" s="125"/>
      <c r="B66" s="125"/>
      <c r="C66" s="125"/>
      <c r="D66" s="125" t="s">
        <v>46</v>
      </c>
      <c r="E66" s="124" t="s">
        <v>47</v>
      </c>
      <c r="F66" s="115">
        <v>3003.6</v>
      </c>
      <c r="G66" s="115"/>
      <c r="H66" s="115">
        <v>3003.6</v>
      </c>
      <c r="I66" s="115">
        <v>3003.6</v>
      </c>
      <c r="J66" s="167">
        <f t="shared" si="6"/>
        <v>1</v>
      </c>
      <c r="K66" s="223"/>
      <c r="L66" s="224"/>
    </row>
    <row r="67" spans="1:12" ht="59.25" customHeight="1">
      <c r="A67" s="125"/>
      <c r="B67" s="116" t="s">
        <v>341</v>
      </c>
      <c r="C67" s="117"/>
      <c r="D67" s="117"/>
      <c r="E67" s="118" t="s">
        <v>342</v>
      </c>
      <c r="F67" s="130">
        <f>F68+F73</f>
        <v>82055.09999999999</v>
      </c>
      <c r="G67" s="130">
        <f>G68+G73</f>
        <v>0</v>
      </c>
      <c r="H67" s="130">
        <f>H68+H73</f>
        <v>85182.5</v>
      </c>
      <c r="I67" s="130">
        <f>I68+I73</f>
        <v>84841.20000000001</v>
      </c>
      <c r="J67" s="166">
        <f t="shared" si="6"/>
        <v>0.9959933084847241</v>
      </c>
      <c r="K67" s="223"/>
      <c r="L67" s="224"/>
    </row>
    <row r="68" spans="1:12" ht="25.5" customHeight="1">
      <c r="A68" s="125"/>
      <c r="B68" s="116"/>
      <c r="C68" s="117" t="s">
        <v>255</v>
      </c>
      <c r="D68" s="117"/>
      <c r="E68" s="118" t="s">
        <v>256</v>
      </c>
      <c r="F68" s="130">
        <f>F69</f>
        <v>161</v>
      </c>
      <c r="G68" s="130">
        <f aca="true" t="shared" si="8" ref="G68:I71">G69</f>
        <v>0</v>
      </c>
      <c r="H68" s="130">
        <f t="shared" si="8"/>
        <v>161</v>
      </c>
      <c r="I68" s="130">
        <f t="shared" si="8"/>
        <v>161</v>
      </c>
      <c r="J68" s="166">
        <f t="shared" si="6"/>
        <v>1</v>
      </c>
      <c r="K68" s="223"/>
      <c r="L68" s="224"/>
    </row>
    <row r="69" spans="1:12" ht="18.75">
      <c r="A69" s="125"/>
      <c r="B69" s="116"/>
      <c r="C69" s="117" t="s">
        <v>261</v>
      </c>
      <c r="D69" s="117"/>
      <c r="E69" s="118" t="s">
        <v>262</v>
      </c>
      <c r="F69" s="130">
        <f>F70</f>
        <v>161</v>
      </c>
      <c r="G69" s="130">
        <f t="shared" si="8"/>
        <v>0</v>
      </c>
      <c r="H69" s="130">
        <f t="shared" si="8"/>
        <v>161</v>
      </c>
      <c r="I69" s="130">
        <f t="shared" si="8"/>
        <v>161</v>
      </c>
      <c r="J69" s="166">
        <f t="shared" si="6"/>
        <v>1</v>
      </c>
      <c r="K69" s="223"/>
      <c r="L69" s="224"/>
    </row>
    <row r="70" spans="1:12" ht="18.75">
      <c r="A70" s="125"/>
      <c r="B70" s="116"/>
      <c r="C70" s="117" t="s">
        <v>265</v>
      </c>
      <c r="D70" s="117"/>
      <c r="E70" s="118" t="s">
        <v>266</v>
      </c>
      <c r="F70" s="130">
        <f>F71</f>
        <v>161</v>
      </c>
      <c r="G70" s="130">
        <f t="shared" si="8"/>
        <v>0</v>
      </c>
      <c r="H70" s="130">
        <f t="shared" si="8"/>
        <v>161</v>
      </c>
      <c r="I70" s="130">
        <f t="shared" si="8"/>
        <v>161</v>
      </c>
      <c r="J70" s="166">
        <f t="shared" si="6"/>
        <v>1</v>
      </c>
      <c r="K70" s="223"/>
      <c r="L70" s="224"/>
    </row>
    <row r="71" spans="1:12" ht="37.5">
      <c r="A71" s="125"/>
      <c r="B71" s="116"/>
      <c r="C71" s="119" t="s">
        <v>891</v>
      </c>
      <c r="D71" s="119"/>
      <c r="E71" s="120" t="s">
        <v>768</v>
      </c>
      <c r="F71" s="168">
        <f>F72</f>
        <v>161</v>
      </c>
      <c r="G71" s="168">
        <f t="shared" si="8"/>
        <v>0</v>
      </c>
      <c r="H71" s="168">
        <f t="shared" si="8"/>
        <v>161</v>
      </c>
      <c r="I71" s="168">
        <f t="shared" si="8"/>
        <v>161</v>
      </c>
      <c r="J71" s="169">
        <f t="shared" si="6"/>
        <v>1</v>
      </c>
      <c r="K71" s="223"/>
      <c r="L71" s="224"/>
    </row>
    <row r="72" spans="1:12" ht="37.5">
      <c r="A72" s="125"/>
      <c r="B72" s="116"/>
      <c r="C72" s="119"/>
      <c r="D72" s="119" t="s">
        <v>46</v>
      </c>
      <c r="E72" s="120" t="s">
        <v>47</v>
      </c>
      <c r="F72" s="168">
        <v>161</v>
      </c>
      <c r="G72" s="115"/>
      <c r="H72" s="131">
        <v>161</v>
      </c>
      <c r="I72" s="131">
        <v>161</v>
      </c>
      <c r="J72" s="169">
        <f t="shared" si="6"/>
        <v>1</v>
      </c>
      <c r="K72" s="223"/>
      <c r="L72" s="224"/>
    </row>
    <row r="73" spans="1:12" ht="37.5">
      <c r="A73" s="132"/>
      <c r="B73" s="132"/>
      <c r="C73" s="132" t="s">
        <v>269</v>
      </c>
      <c r="D73" s="132" t="s">
        <v>766</v>
      </c>
      <c r="E73" s="122" t="s">
        <v>412</v>
      </c>
      <c r="F73" s="130">
        <f aca="true" t="shared" si="9" ref="F73:I74">F74</f>
        <v>81894.09999999999</v>
      </c>
      <c r="G73" s="130">
        <f t="shared" si="9"/>
        <v>0</v>
      </c>
      <c r="H73" s="130">
        <f t="shared" si="9"/>
        <v>85021.5</v>
      </c>
      <c r="I73" s="130">
        <f t="shared" si="9"/>
        <v>84680.20000000001</v>
      </c>
      <c r="J73" s="166">
        <f t="shared" si="6"/>
        <v>0.9959857212587405</v>
      </c>
      <c r="K73" s="223"/>
      <c r="L73" s="224"/>
    </row>
    <row r="74" spans="1:12" ht="57.75" customHeight="1">
      <c r="A74" s="132"/>
      <c r="B74" s="132"/>
      <c r="C74" s="132" t="s">
        <v>276</v>
      </c>
      <c r="D74" s="132" t="s">
        <v>766</v>
      </c>
      <c r="E74" s="122" t="s">
        <v>277</v>
      </c>
      <c r="F74" s="130">
        <f t="shared" si="9"/>
        <v>81894.09999999999</v>
      </c>
      <c r="G74" s="130">
        <f t="shared" si="9"/>
        <v>0</v>
      </c>
      <c r="H74" s="130">
        <f t="shared" si="9"/>
        <v>85021.5</v>
      </c>
      <c r="I74" s="130">
        <f t="shared" si="9"/>
        <v>84680.20000000001</v>
      </c>
      <c r="J74" s="166">
        <f t="shared" si="6"/>
        <v>0.9959857212587405</v>
      </c>
      <c r="K74" s="223"/>
      <c r="L74" s="224"/>
    </row>
    <row r="75" spans="1:12" ht="37.5">
      <c r="A75" s="132"/>
      <c r="B75" s="132"/>
      <c r="C75" s="132" t="s">
        <v>278</v>
      </c>
      <c r="D75" s="132"/>
      <c r="E75" s="122" t="s">
        <v>42</v>
      </c>
      <c r="F75" s="130">
        <f>F76+F80+F87+F82+F92+F90+F84</f>
        <v>81894.09999999999</v>
      </c>
      <c r="G75" s="130">
        <f>G76+G80+G87+G82+G92+G90+G84</f>
        <v>0</v>
      </c>
      <c r="H75" s="130">
        <f>H76+H80+H87+H82+H92+H90+H84</f>
        <v>85021.5</v>
      </c>
      <c r="I75" s="130">
        <f>I76+I80+I87+I82+I92+I90+I84</f>
        <v>84680.20000000001</v>
      </c>
      <c r="J75" s="166">
        <f t="shared" si="6"/>
        <v>0.9959857212587405</v>
      </c>
      <c r="K75" s="223"/>
      <c r="L75" s="224"/>
    </row>
    <row r="76" spans="1:12" ht="18.75">
      <c r="A76" s="132"/>
      <c r="B76" s="132"/>
      <c r="C76" s="125" t="s">
        <v>279</v>
      </c>
      <c r="D76" s="125" t="s">
        <v>766</v>
      </c>
      <c r="E76" s="123" t="s">
        <v>45</v>
      </c>
      <c r="F76" s="115">
        <f>SUM(F77:F79)</f>
        <v>77441.09999999999</v>
      </c>
      <c r="G76" s="115">
        <f>SUM(G77:G79)</f>
        <v>0</v>
      </c>
      <c r="H76" s="115">
        <f>SUM(H77:H79)</f>
        <v>80218.5</v>
      </c>
      <c r="I76" s="115">
        <f>SUM(I77:I79)</f>
        <v>79899</v>
      </c>
      <c r="J76" s="167">
        <f t="shared" si="6"/>
        <v>0.996017128218553</v>
      </c>
      <c r="K76" s="223"/>
      <c r="L76" s="224"/>
    </row>
    <row r="77" spans="1:12" ht="37.5">
      <c r="A77" s="125"/>
      <c r="B77" s="125"/>
      <c r="C77" s="125"/>
      <c r="D77" s="125" t="s">
        <v>46</v>
      </c>
      <c r="E77" s="124" t="s">
        <v>47</v>
      </c>
      <c r="F77" s="115">
        <f>49653.4+181.1+14997.2</f>
        <v>64831.7</v>
      </c>
      <c r="G77" s="115"/>
      <c r="H77" s="115">
        <v>66576.8</v>
      </c>
      <c r="I77" s="115">
        <v>66572.8</v>
      </c>
      <c r="J77" s="167">
        <f t="shared" si="6"/>
        <v>0.9999399190108266</v>
      </c>
      <c r="K77" s="223"/>
      <c r="L77" s="224"/>
    </row>
    <row r="78" spans="1:12" ht="18.75">
      <c r="A78" s="125"/>
      <c r="B78" s="125"/>
      <c r="C78" s="125"/>
      <c r="D78" s="125" t="s">
        <v>27</v>
      </c>
      <c r="E78" s="124" t="s">
        <v>28</v>
      </c>
      <c r="F78" s="115">
        <f>1522.5+10721.9</f>
        <v>12244.4</v>
      </c>
      <c r="G78" s="115"/>
      <c r="H78" s="115">
        <v>13304.3</v>
      </c>
      <c r="I78" s="115">
        <v>12989.8</v>
      </c>
      <c r="J78" s="167">
        <f t="shared" si="6"/>
        <v>0.9763610261344077</v>
      </c>
      <c r="K78" s="223"/>
      <c r="L78" s="224"/>
    </row>
    <row r="79" spans="1:12" ht="18.75">
      <c r="A79" s="125"/>
      <c r="B79" s="125"/>
      <c r="C79" s="125"/>
      <c r="D79" s="125" t="s">
        <v>62</v>
      </c>
      <c r="E79" s="124" t="s">
        <v>63</v>
      </c>
      <c r="F79" s="115">
        <f>260.9+104.1</f>
        <v>365</v>
      </c>
      <c r="G79" s="115"/>
      <c r="H79" s="115">
        <v>337.4</v>
      </c>
      <c r="I79" s="115">
        <v>336.4</v>
      </c>
      <c r="J79" s="167">
        <f t="shared" si="6"/>
        <v>0.997036158861885</v>
      </c>
      <c r="K79" s="223"/>
      <c r="L79" s="224"/>
    </row>
    <row r="80" spans="1:12" ht="18.75">
      <c r="A80" s="132"/>
      <c r="B80" s="132"/>
      <c r="C80" s="125" t="s">
        <v>281</v>
      </c>
      <c r="D80" s="125" t="s">
        <v>766</v>
      </c>
      <c r="E80" s="123" t="s">
        <v>506</v>
      </c>
      <c r="F80" s="115">
        <f>F81</f>
        <v>450.9</v>
      </c>
      <c r="G80" s="115">
        <f>G81</f>
        <v>0</v>
      </c>
      <c r="H80" s="115">
        <f>H81</f>
        <v>800.9</v>
      </c>
      <c r="I80" s="115">
        <f>I81</f>
        <v>797.3</v>
      </c>
      <c r="J80" s="167">
        <f t="shared" si="6"/>
        <v>0.9955050568110875</v>
      </c>
      <c r="K80" s="223"/>
      <c r="L80" s="224"/>
    </row>
    <row r="81" spans="1:12" ht="18.75">
      <c r="A81" s="125"/>
      <c r="B81" s="125"/>
      <c r="C81" s="125"/>
      <c r="D81" s="125" t="s">
        <v>27</v>
      </c>
      <c r="E81" s="124" t="s">
        <v>28</v>
      </c>
      <c r="F81" s="115">
        <v>450.9</v>
      </c>
      <c r="G81" s="115"/>
      <c r="H81" s="115">
        <v>800.9</v>
      </c>
      <c r="I81" s="115">
        <v>797.3</v>
      </c>
      <c r="J81" s="167">
        <f t="shared" si="6"/>
        <v>0.9955050568110875</v>
      </c>
      <c r="K81" s="223"/>
      <c r="L81" s="224"/>
    </row>
    <row r="82" spans="1:12" ht="18.75">
      <c r="A82" s="125"/>
      <c r="B82" s="125"/>
      <c r="C82" s="126" t="s">
        <v>892</v>
      </c>
      <c r="D82" s="119"/>
      <c r="E82" s="120" t="s">
        <v>287</v>
      </c>
      <c r="F82" s="131">
        <f>F83</f>
        <v>56.8</v>
      </c>
      <c r="G82" s="131">
        <f>G83</f>
        <v>0</v>
      </c>
      <c r="H82" s="131">
        <f>H83</f>
        <v>56.8</v>
      </c>
      <c r="I82" s="131">
        <f>I83</f>
        <v>56.8</v>
      </c>
      <c r="J82" s="169">
        <f t="shared" si="6"/>
        <v>1</v>
      </c>
      <c r="K82" s="223"/>
      <c r="L82" s="224"/>
    </row>
    <row r="83" spans="1:12" ht="18.75">
      <c r="A83" s="125"/>
      <c r="B83" s="125"/>
      <c r="C83" s="126"/>
      <c r="D83" s="119" t="s">
        <v>27</v>
      </c>
      <c r="E83" s="120" t="s">
        <v>28</v>
      </c>
      <c r="F83" s="168">
        <v>56.8</v>
      </c>
      <c r="G83" s="115"/>
      <c r="H83" s="131">
        <v>56.8</v>
      </c>
      <c r="I83" s="131">
        <v>56.8</v>
      </c>
      <c r="J83" s="169">
        <f t="shared" si="6"/>
        <v>1</v>
      </c>
      <c r="K83" s="223"/>
      <c r="L83" s="224"/>
    </row>
    <row r="84" spans="1:12" ht="18.75">
      <c r="A84" s="125"/>
      <c r="B84" s="125"/>
      <c r="C84" s="126" t="s">
        <v>893</v>
      </c>
      <c r="D84" s="119"/>
      <c r="E84" s="120" t="s">
        <v>439</v>
      </c>
      <c r="F84" s="131">
        <f>F85</f>
        <v>64.3</v>
      </c>
      <c r="G84" s="131">
        <f>G85</f>
        <v>0</v>
      </c>
      <c r="H84" s="131">
        <f>H85+H86</f>
        <v>64.3</v>
      </c>
      <c r="I84" s="131">
        <f>I85+I86</f>
        <v>46.1</v>
      </c>
      <c r="J84" s="169">
        <f t="shared" si="6"/>
        <v>0.7169517884914464</v>
      </c>
      <c r="K84" s="223"/>
      <c r="L84" s="224"/>
    </row>
    <row r="85" spans="1:12" ht="37.5">
      <c r="A85" s="125"/>
      <c r="B85" s="125"/>
      <c r="C85" s="126"/>
      <c r="D85" s="119" t="s">
        <v>46</v>
      </c>
      <c r="E85" s="120" t="s">
        <v>47</v>
      </c>
      <c r="F85" s="168">
        <v>64.3</v>
      </c>
      <c r="G85" s="115"/>
      <c r="H85" s="131">
        <v>24.3</v>
      </c>
      <c r="I85" s="131">
        <v>23.6</v>
      </c>
      <c r="J85" s="169">
        <f t="shared" si="6"/>
        <v>0.9711934156378601</v>
      </c>
      <c r="K85" s="223"/>
      <c r="L85" s="224"/>
    </row>
    <row r="86" spans="1:12" ht="18.75">
      <c r="A86" s="125"/>
      <c r="B86" s="125"/>
      <c r="C86" s="126"/>
      <c r="D86" s="119" t="s">
        <v>27</v>
      </c>
      <c r="E86" s="120" t="s">
        <v>28</v>
      </c>
      <c r="F86" s="168"/>
      <c r="G86" s="115"/>
      <c r="H86" s="131">
        <v>40</v>
      </c>
      <c r="I86" s="131">
        <v>22.5</v>
      </c>
      <c r="J86" s="169">
        <f t="shared" si="6"/>
        <v>0.5625</v>
      </c>
      <c r="K86" s="223"/>
      <c r="L86" s="224"/>
    </row>
    <row r="87" spans="1:12" ht="18.75">
      <c r="A87" s="125"/>
      <c r="B87" s="125"/>
      <c r="C87" s="126" t="s">
        <v>894</v>
      </c>
      <c r="D87" s="119"/>
      <c r="E87" s="120" t="s">
        <v>285</v>
      </c>
      <c r="F87" s="131">
        <f>F88+F89</f>
        <v>3864.9</v>
      </c>
      <c r="G87" s="131">
        <f>G88+G89</f>
        <v>0</v>
      </c>
      <c r="H87" s="131">
        <f>H88+H89</f>
        <v>3864.8999999999996</v>
      </c>
      <c r="I87" s="131">
        <f>I88+I89</f>
        <v>3864.8999999999996</v>
      </c>
      <c r="J87" s="169">
        <f t="shared" si="6"/>
        <v>1</v>
      </c>
      <c r="K87" s="223"/>
      <c r="L87" s="224"/>
    </row>
    <row r="88" spans="1:12" ht="37.5">
      <c r="A88" s="125"/>
      <c r="B88" s="125"/>
      <c r="C88" s="126"/>
      <c r="D88" s="119" t="s">
        <v>46</v>
      </c>
      <c r="E88" s="120" t="s">
        <v>47</v>
      </c>
      <c r="F88" s="168">
        <v>3801.9</v>
      </c>
      <c r="G88" s="115"/>
      <c r="H88" s="131">
        <v>3785.7</v>
      </c>
      <c r="I88" s="131">
        <v>3785.7</v>
      </c>
      <c r="J88" s="169">
        <f t="shared" si="6"/>
        <v>1</v>
      </c>
      <c r="K88" s="223"/>
      <c r="L88" s="224"/>
    </row>
    <row r="89" spans="1:12" ht="25.5" customHeight="1">
      <c r="A89" s="125"/>
      <c r="B89" s="125"/>
      <c r="C89" s="126"/>
      <c r="D89" s="119" t="s">
        <v>27</v>
      </c>
      <c r="E89" s="120" t="s">
        <v>28</v>
      </c>
      <c r="F89" s="168">
        <v>63</v>
      </c>
      <c r="G89" s="115"/>
      <c r="H89" s="131">
        <v>79.2</v>
      </c>
      <c r="I89" s="131">
        <v>79.2</v>
      </c>
      <c r="J89" s="169">
        <f t="shared" si="6"/>
        <v>1</v>
      </c>
      <c r="K89" s="223"/>
      <c r="L89" s="224"/>
    </row>
    <row r="90" spans="1:12" ht="37.5">
      <c r="A90" s="125"/>
      <c r="B90" s="125"/>
      <c r="C90" s="126" t="s">
        <v>895</v>
      </c>
      <c r="D90" s="119"/>
      <c r="E90" s="120" t="s">
        <v>896</v>
      </c>
      <c r="F90" s="131">
        <f>F91</f>
        <v>1</v>
      </c>
      <c r="G90" s="131">
        <f>G91</f>
        <v>0</v>
      </c>
      <c r="H90" s="131">
        <f>H91</f>
        <v>1</v>
      </c>
      <c r="I90" s="131">
        <f>I91</f>
        <v>1</v>
      </c>
      <c r="J90" s="169">
        <f t="shared" si="6"/>
        <v>1</v>
      </c>
      <c r="K90" s="223"/>
      <c r="L90" s="224"/>
    </row>
    <row r="91" spans="1:12" ht="37.5">
      <c r="A91" s="125"/>
      <c r="B91" s="125"/>
      <c r="C91" s="126"/>
      <c r="D91" s="119" t="s">
        <v>46</v>
      </c>
      <c r="E91" s="120" t="s">
        <v>47</v>
      </c>
      <c r="F91" s="168">
        <v>1</v>
      </c>
      <c r="G91" s="115"/>
      <c r="H91" s="131">
        <v>1</v>
      </c>
      <c r="I91" s="131">
        <v>1</v>
      </c>
      <c r="J91" s="169">
        <f t="shared" si="6"/>
        <v>1</v>
      </c>
      <c r="K91" s="223"/>
      <c r="L91" s="224"/>
    </row>
    <row r="92" spans="1:12" ht="37.5">
      <c r="A92" s="125"/>
      <c r="B92" s="125"/>
      <c r="C92" s="126" t="s">
        <v>897</v>
      </c>
      <c r="D92" s="119"/>
      <c r="E92" s="120" t="s">
        <v>769</v>
      </c>
      <c r="F92" s="131">
        <f>F93</f>
        <v>15.1</v>
      </c>
      <c r="G92" s="131">
        <f>G93</f>
        <v>0</v>
      </c>
      <c r="H92" s="131">
        <f>H93</f>
        <v>15.1</v>
      </c>
      <c r="I92" s="131">
        <f>I93</f>
        <v>15.1</v>
      </c>
      <c r="J92" s="169">
        <f t="shared" si="6"/>
        <v>1</v>
      </c>
      <c r="K92" s="223"/>
      <c r="L92" s="224"/>
    </row>
    <row r="93" spans="1:12" ht="37.5">
      <c r="A93" s="125"/>
      <c r="B93" s="125"/>
      <c r="C93" s="126"/>
      <c r="D93" s="119" t="s">
        <v>46</v>
      </c>
      <c r="E93" s="120" t="s">
        <v>47</v>
      </c>
      <c r="F93" s="168">
        <v>15.1</v>
      </c>
      <c r="G93" s="115"/>
      <c r="H93" s="131">
        <v>15.1</v>
      </c>
      <c r="I93" s="131">
        <v>15.1</v>
      </c>
      <c r="J93" s="169">
        <f t="shared" si="6"/>
        <v>1</v>
      </c>
      <c r="K93" s="223"/>
      <c r="L93" s="224"/>
    </row>
    <row r="94" spans="1:12" ht="18.75">
      <c r="A94" s="125"/>
      <c r="B94" s="132" t="s">
        <v>898</v>
      </c>
      <c r="C94" s="117"/>
      <c r="D94" s="132"/>
      <c r="E94" s="134" t="s">
        <v>416</v>
      </c>
      <c r="F94" s="130">
        <f>F95</f>
        <v>476.3</v>
      </c>
      <c r="G94" s="130">
        <f aca="true" t="shared" si="10" ref="G94:I98">G95</f>
        <v>0</v>
      </c>
      <c r="H94" s="130">
        <f t="shared" si="10"/>
        <v>476.3</v>
      </c>
      <c r="I94" s="130">
        <f t="shared" si="10"/>
        <v>156.5</v>
      </c>
      <c r="J94" s="166">
        <f t="shared" si="6"/>
        <v>0.32857442788158725</v>
      </c>
      <c r="K94" s="223"/>
      <c r="L94" s="224"/>
    </row>
    <row r="95" spans="1:12" ht="37.5">
      <c r="A95" s="125"/>
      <c r="B95" s="132"/>
      <c r="C95" s="132" t="s">
        <v>269</v>
      </c>
      <c r="D95" s="132" t="s">
        <v>766</v>
      </c>
      <c r="E95" s="122" t="s">
        <v>412</v>
      </c>
      <c r="F95" s="130">
        <f>F96</f>
        <v>476.3</v>
      </c>
      <c r="G95" s="130">
        <f t="shared" si="10"/>
        <v>0</v>
      </c>
      <c r="H95" s="130">
        <f t="shared" si="10"/>
        <v>476.3</v>
      </c>
      <c r="I95" s="130">
        <f t="shared" si="10"/>
        <v>156.5</v>
      </c>
      <c r="J95" s="166">
        <f t="shared" si="6"/>
        <v>0.32857442788158725</v>
      </c>
      <c r="K95" s="223"/>
      <c r="L95" s="224"/>
    </row>
    <row r="96" spans="1:12" ht="55.5" customHeight="1">
      <c r="A96" s="125"/>
      <c r="B96" s="132"/>
      <c r="C96" s="132" t="s">
        <v>276</v>
      </c>
      <c r="D96" s="132" t="s">
        <v>766</v>
      </c>
      <c r="E96" s="122" t="s">
        <v>277</v>
      </c>
      <c r="F96" s="130">
        <f>F97</f>
        <v>476.3</v>
      </c>
      <c r="G96" s="130">
        <f t="shared" si="10"/>
        <v>0</v>
      </c>
      <c r="H96" s="130">
        <f t="shared" si="10"/>
        <v>476.3</v>
      </c>
      <c r="I96" s="130">
        <f t="shared" si="10"/>
        <v>156.5</v>
      </c>
      <c r="J96" s="166">
        <f t="shared" si="6"/>
        <v>0.32857442788158725</v>
      </c>
      <c r="K96" s="223"/>
      <c r="L96" s="224"/>
    </row>
    <row r="97" spans="1:12" ht="37.5">
      <c r="A97" s="125"/>
      <c r="B97" s="125"/>
      <c r="C97" s="132" t="s">
        <v>278</v>
      </c>
      <c r="D97" s="132"/>
      <c r="E97" s="122" t="s">
        <v>42</v>
      </c>
      <c r="F97" s="130">
        <f>F98</f>
        <v>476.3</v>
      </c>
      <c r="G97" s="130">
        <f t="shared" si="10"/>
        <v>0</v>
      </c>
      <c r="H97" s="130">
        <f t="shared" si="10"/>
        <v>476.3</v>
      </c>
      <c r="I97" s="130">
        <f t="shared" si="10"/>
        <v>156.5</v>
      </c>
      <c r="J97" s="166">
        <f t="shared" si="6"/>
        <v>0.32857442788158725</v>
      </c>
      <c r="K97" s="223"/>
      <c r="L97" s="224"/>
    </row>
    <row r="98" spans="1:12" ht="40.5" customHeight="1">
      <c r="A98" s="125"/>
      <c r="B98" s="125"/>
      <c r="C98" s="126" t="s">
        <v>899</v>
      </c>
      <c r="D98" s="119"/>
      <c r="E98" s="133" t="s">
        <v>900</v>
      </c>
      <c r="F98" s="168">
        <f>F99</f>
        <v>476.3</v>
      </c>
      <c r="G98" s="168">
        <f t="shared" si="10"/>
        <v>0</v>
      </c>
      <c r="H98" s="168">
        <f t="shared" si="10"/>
        <v>476.3</v>
      </c>
      <c r="I98" s="131">
        <f t="shared" si="10"/>
        <v>156.5</v>
      </c>
      <c r="J98" s="169">
        <f t="shared" si="6"/>
        <v>0.32857442788158725</v>
      </c>
      <c r="K98" s="223"/>
      <c r="L98" s="224"/>
    </row>
    <row r="99" spans="1:12" ht="18.75">
      <c r="A99" s="125"/>
      <c r="B99" s="125"/>
      <c r="C99" s="126"/>
      <c r="D99" s="119" t="s">
        <v>27</v>
      </c>
      <c r="E99" s="120" t="s">
        <v>28</v>
      </c>
      <c r="F99" s="168">
        <v>476.3</v>
      </c>
      <c r="G99" s="115"/>
      <c r="H99" s="131">
        <v>476.3</v>
      </c>
      <c r="I99" s="131">
        <v>156.5</v>
      </c>
      <c r="J99" s="169">
        <f t="shared" si="6"/>
        <v>0.32857442788158725</v>
      </c>
      <c r="K99" s="223"/>
      <c r="L99" s="224"/>
    </row>
    <row r="100" spans="1:12" ht="18.75">
      <c r="A100" s="125"/>
      <c r="B100" s="132" t="s">
        <v>901</v>
      </c>
      <c r="C100" s="126"/>
      <c r="D100" s="119"/>
      <c r="E100" s="134" t="s">
        <v>902</v>
      </c>
      <c r="F100" s="168"/>
      <c r="G100" s="115"/>
      <c r="H100" s="130">
        <f aca="true" t="shared" si="11" ref="H100:I102">H101</f>
        <v>349.3</v>
      </c>
      <c r="I100" s="130">
        <f t="shared" si="11"/>
        <v>349.3</v>
      </c>
      <c r="J100" s="166">
        <f t="shared" si="6"/>
        <v>1</v>
      </c>
      <c r="K100" s="223"/>
      <c r="L100" s="224"/>
    </row>
    <row r="101" spans="1:12" ht="18.75">
      <c r="A101" s="125"/>
      <c r="B101" s="125"/>
      <c r="C101" s="132" t="s">
        <v>321</v>
      </c>
      <c r="D101" s="132" t="s">
        <v>766</v>
      </c>
      <c r="E101" s="122" t="s">
        <v>322</v>
      </c>
      <c r="F101" s="168"/>
      <c r="G101" s="115"/>
      <c r="H101" s="130">
        <f t="shared" si="11"/>
        <v>349.3</v>
      </c>
      <c r="I101" s="130">
        <f t="shared" si="11"/>
        <v>349.3</v>
      </c>
      <c r="J101" s="166">
        <f t="shared" si="6"/>
        <v>1</v>
      </c>
      <c r="K101" s="223"/>
      <c r="L101" s="224"/>
    </row>
    <row r="102" spans="1:12" ht="18.75">
      <c r="A102" s="125"/>
      <c r="B102" s="125"/>
      <c r="C102" s="222" t="s">
        <v>324</v>
      </c>
      <c r="D102" s="125"/>
      <c r="E102" s="124" t="s">
        <v>325</v>
      </c>
      <c r="F102" s="168"/>
      <c r="G102" s="115"/>
      <c r="H102" s="115">
        <f t="shared" si="11"/>
        <v>349.3</v>
      </c>
      <c r="I102" s="115">
        <f t="shared" si="11"/>
        <v>349.3</v>
      </c>
      <c r="J102" s="167">
        <f t="shared" si="6"/>
        <v>1</v>
      </c>
      <c r="K102" s="223"/>
      <c r="L102" s="224"/>
    </row>
    <row r="103" spans="1:12" ht="18.75">
      <c r="A103" s="125"/>
      <c r="B103" s="125"/>
      <c r="C103" s="132"/>
      <c r="D103" s="125" t="s">
        <v>62</v>
      </c>
      <c r="E103" s="124" t="s">
        <v>63</v>
      </c>
      <c r="F103" s="168"/>
      <c r="G103" s="115"/>
      <c r="H103" s="115">
        <v>349.3</v>
      </c>
      <c r="I103" s="115">
        <v>349.3</v>
      </c>
      <c r="J103" s="167">
        <f t="shared" si="6"/>
        <v>1</v>
      </c>
      <c r="K103" s="223"/>
      <c r="L103" s="224"/>
    </row>
    <row r="104" spans="1:12" ht="25.5" customHeight="1">
      <c r="A104" s="125"/>
      <c r="B104" s="116" t="s">
        <v>333</v>
      </c>
      <c r="C104" s="117"/>
      <c r="D104" s="117"/>
      <c r="E104" s="118" t="s">
        <v>334</v>
      </c>
      <c r="F104" s="130">
        <f>F105+F112+F128+F149+F164</f>
        <v>39686.40000000001</v>
      </c>
      <c r="G104" s="130">
        <f>G105+G112+G128+G149+G164</f>
        <v>0</v>
      </c>
      <c r="H104" s="130">
        <f>H105+H112+H128+H149+H164</f>
        <v>49632.455740000005</v>
      </c>
      <c r="I104" s="130">
        <f>I105+I112+I128+I149+I164</f>
        <v>44239.90000000001</v>
      </c>
      <c r="J104" s="166">
        <f t="shared" si="6"/>
        <v>0.8913502130894159</v>
      </c>
      <c r="K104" s="223"/>
      <c r="L104" s="224"/>
    </row>
    <row r="105" spans="1:12" ht="18.75">
      <c r="A105" s="132"/>
      <c r="B105" s="132"/>
      <c r="C105" s="132" t="s">
        <v>167</v>
      </c>
      <c r="D105" s="132" t="s">
        <v>766</v>
      </c>
      <c r="E105" s="122" t="s">
        <v>168</v>
      </c>
      <c r="F105" s="130">
        <f>F106</f>
        <v>17384.100000000002</v>
      </c>
      <c r="G105" s="130">
        <f aca="true" t="shared" si="12" ref="G105:I107">G106</f>
        <v>0</v>
      </c>
      <c r="H105" s="130">
        <f t="shared" si="12"/>
        <v>17369.100000000002</v>
      </c>
      <c r="I105" s="130">
        <f t="shared" si="12"/>
        <v>17366.100000000002</v>
      </c>
      <c r="J105" s="166">
        <f t="shared" si="6"/>
        <v>0.9998272794790749</v>
      </c>
      <c r="K105" s="223"/>
      <c r="L105" s="224"/>
    </row>
    <row r="106" spans="1:12" ht="42.75" customHeight="1">
      <c r="A106" s="132"/>
      <c r="B106" s="132"/>
      <c r="C106" s="132" t="s">
        <v>217</v>
      </c>
      <c r="D106" s="132" t="s">
        <v>766</v>
      </c>
      <c r="E106" s="122" t="s">
        <v>218</v>
      </c>
      <c r="F106" s="130">
        <f>F107</f>
        <v>17384.100000000002</v>
      </c>
      <c r="G106" s="130">
        <f t="shared" si="12"/>
        <v>0</v>
      </c>
      <c r="H106" s="130">
        <f t="shared" si="12"/>
        <v>17369.100000000002</v>
      </c>
      <c r="I106" s="130">
        <f t="shared" si="12"/>
        <v>17366.100000000002</v>
      </c>
      <c r="J106" s="166">
        <f t="shared" si="6"/>
        <v>0.9998272794790749</v>
      </c>
      <c r="K106" s="223"/>
      <c r="L106" s="224"/>
    </row>
    <row r="107" spans="1:12" ht="37.5">
      <c r="A107" s="132"/>
      <c r="B107" s="132"/>
      <c r="C107" s="132" t="s">
        <v>219</v>
      </c>
      <c r="D107" s="132"/>
      <c r="E107" s="122" t="s">
        <v>42</v>
      </c>
      <c r="F107" s="130">
        <f>F108</f>
        <v>17384.100000000002</v>
      </c>
      <c r="G107" s="130">
        <f t="shared" si="12"/>
        <v>0</v>
      </c>
      <c r="H107" s="130">
        <f t="shared" si="12"/>
        <v>17369.100000000002</v>
      </c>
      <c r="I107" s="130">
        <f t="shared" si="12"/>
        <v>17366.100000000002</v>
      </c>
      <c r="J107" s="166">
        <f t="shared" si="6"/>
        <v>0.9998272794790749</v>
      </c>
      <c r="K107" s="223"/>
      <c r="L107" s="224"/>
    </row>
    <row r="108" spans="1:12" ht="18.75">
      <c r="A108" s="132"/>
      <c r="B108" s="132"/>
      <c r="C108" s="125" t="s">
        <v>221</v>
      </c>
      <c r="D108" s="125" t="s">
        <v>766</v>
      </c>
      <c r="E108" s="123" t="s">
        <v>144</v>
      </c>
      <c r="F108" s="115">
        <f>F109+F110+F111</f>
        <v>17384.100000000002</v>
      </c>
      <c r="G108" s="115">
        <f>G109+G110+G111</f>
        <v>0</v>
      </c>
      <c r="H108" s="115">
        <f>H109+H110+H111</f>
        <v>17369.100000000002</v>
      </c>
      <c r="I108" s="115">
        <f>I109+I110+I111</f>
        <v>17366.100000000002</v>
      </c>
      <c r="J108" s="167">
        <f t="shared" si="6"/>
        <v>0.9998272794790749</v>
      </c>
      <c r="K108" s="223"/>
      <c r="L108" s="224"/>
    </row>
    <row r="109" spans="1:12" ht="37.5">
      <c r="A109" s="125"/>
      <c r="B109" s="125"/>
      <c r="C109" s="125"/>
      <c r="D109" s="125" t="s">
        <v>46</v>
      </c>
      <c r="E109" s="124" t="s">
        <v>47</v>
      </c>
      <c r="F109" s="115">
        <f>11024+88.5+3329.3</f>
        <v>14441.8</v>
      </c>
      <c r="G109" s="115"/>
      <c r="H109" s="115">
        <v>15102.2</v>
      </c>
      <c r="I109" s="115">
        <v>15102.2</v>
      </c>
      <c r="J109" s="167">
        <f t="shared" si="6"/>
        <v>1</v>
      </c>
      <c r="K109" s="223"/>
      <c r="L109" s="224"/>
    </row>
    <row r="110" spans="1:12" ht="18.75">
      <c r="A110" s="125"/>
      <c r="B110" s="125"/>
      <c r="C110" s="125"/>
      <c r="D110" s="125" t="s">
        <v>27</v>
      </c>
      <c r="E110" s="124" t="s">
        <v>28</v>
      </c>
      <c r="F110" s="115">
        <f>927.2+1914.4</f>
        <v>2841.6000000000004</v>
      </c>
      <c r="G110" s="115"/>
      <c r="H110" s="115">
        <v>2154.7</v>
      </c>
      <c r="I110" s="115">
        <v>2151.7</v>
      </c>
      <c r="J110" s="167">
        <f t="shared" si="6"/>
        <v>0.9986076948067016</v>
      </c>
      <c r="K110" s="223"/>
      <c r="L110" s="224"/>
    </row>
    <row r="111" spans="1:12" ht="18.75">
      <c r="A111" s="125"/>
      <c r="B111" s="125"/>
      <c r="C111" s="125"/>
      <c r="D111" s="125" t="s">
        <v>62</v>
      </c>
      <c r="E111" s="124" t="s">
        <v>63</v>
      </c>
      <c r="F111" s="115">
        <f>35.7+65</f>
        <v>100.7</v>
      </c>
      <c r="G111" s="115"/>
      <c r="H111" s="115">
        <v>112.2</v>
      </c>
      <c r="I111" s="115">
        <v>112.2</v>
      </c>
      <c r="J111" s="167">
        <f t="shared" si="6"/>
        <v>1</v>
      </c>
      <c r="K111" s="223"/>
      <c r="L111" s="224"/>
    </row>
    <row r="112" spans="1:12" ht="18.75">
      <c r="A112" s="132"/>
      <c r="B112" s="132"/>
      <c r="C112" s="132" t="s">
        <v>239</v>
      </c>
      <c r="D112" s="132" t="s">
        <v>766</v>
      </c>
      <c r="E112" s="122" t="s">
        <v>240</v>
      </c>
      <c r="F112" s="130">
        <f>F113+F124</f>
        <v>2601.4</v>
      </c>
      <c r="G112" s="130">
        <f>G113+G124</f>
        <v>0</v>
      </c>
      <c r="H112" s="130">
        <f>H113+H124</f>
        <v>5771.200000000001</v>
      </c>
      <c r="I112" s="130">
        <f>I113+I124</f>
        <v>4763.1</v>
      </c>
      <c r="J112" s="166">
        <f t="shared" si="6"/>
        <v>0.8253222899916828</v>
      </c>
      <c r="K112" s="223"/>
      <c r="L112" s="224"/>
    </row>
    <row r="113" spans="1:12" ht="18.75">
      <c r="A113" s="132"/>
      <c r="B113" s="132"/>
      <c r="C113" s="132" t="s">
        <v>241</v>
      </c>
      <c r="D113" s="132" t="s">
        <v>766</v>
      </c>
      <c r="E113" s="122" t="s">
        <v>242</v>
      </c>
      <c r="F113" s="130">
        <f aca="true" t="shared" si="13" ref="F113:I114">F114</f>
        <v>2370</v>
      </c>
      <c r="G113" s="130">
        <f t="shared" si="13"/>
        <v>0</v>
      </c>
      <c r="H113" s="130">
        <f t="shared" si="13"/>
        <v>5539.800000000001</v>
      </c>
      <c r="I113" s="130">
        <f t="shared" si="13"/>
        <v>4531.700000000001</v>
      </c>
      <c r="J113" s="166">
        <f t="shared" si="6"/>
        <v>0.818025921513412</v>
      </c>
      <c r="K113" s="223"/>
      <c r="L113" s="224"/>
    </row>
    <row r="114" spans="1:12" ht="18.75">
      <c r="A114" s="132"/>
      <c r="B114" s="132"/>
      <c r="C114" s="132" t="s">
        <v>243</v>
      </c>
      <c r="D114" s="132"/>
      <c r="E114" s="122" t="s">
        <v>903</v>
      </c>
      <c r="F114" s="130">
        <f t="shared" si="13"/>
        <v>2370</v>
      </c>
      <c r="G114" s="130">
        <f t="shared" si="13"/>
        <v>0</v>
      </c>
      <c r="H114" s="130">
        <f>H115+H118+H122+H120</f>
        <v>5539.800000000001</v>
      </c>
      <c r="I114" s="130">
        <f>I115+I118+I122+I120</f>
        <v>4531.700000000001</v>
      </c>
      <c r="J114" s="166">
        <f t="shared" si="6"/>
        <v>0.818025921513412</v>
      </c>
      <c r="K114" s="223"/>
      <c r="L114" s="224"/>
    </row>
    <row r="115" spans="1:12" ht="18.75">
      <c r="A115" s="132"/>
      <c r="B115" s="132"/>
      <c r="C115" s="125" t="s">
        <v>244</v>
      </c>
      <c r="D115" s="125" t="s">
        <v>766</v>
      </c>
      <c r="E115" s="123" t="s">
        <v>771</v>
      </c>
      <c r="F115" s="115">
        <f>F116+F117</f>
        <v>2370</v>
      </c>
      <c r="G115" s="115">
        <f>G116+G117</f>
        <v>0</v>
      </c>
      <c r="H115" s="115">
        <f>H116+H117</f>
        <v>2458</v>
      </c>
      <c r="I115" s="115">
        <f>I116+I117</f>
        <v>2452.4</v>
      </c>
      <c r="J115" s="167">
        <f t="shared" si="6"/>
        <v>0.9977217249796583</v>
      </c>
      <c r="K115" s="223"/>
      <c r="L115" s="224"/>
    </row>
    <row r="116" spans="1:12" ht="18.75">
      <c r="A116" s="125"/>
      <c r="B116" s="125"/>
      <c r="C116" s="125"/>
      <c r="D116" s="125" t="s">
        <v>27</v>
      </c>
      <c r="E116" s="124" t="s">
        <v>28</v>
      </c>
      <c r="F116" s="115">
        <v>55</v>
      </c>
      <c r="G116" s="115"/>
      <c r="H116" s="115">
        <f>SUM(F116:G116)</f>
        <v>55</v>
      </c>
      <c r="I116" s="115">
        <v>49.4</v>
      </c>
      <c r="J116" s="167">
        <f t="shared" si="6"/>
        <v>0.8981818181818182</v>
      </c>
      <c r="K116" s="223"/>
      <c r="L116" s="224"/>
    </row>
    <row r="117" spans="1:12" ht="18.75">
      <c r="A117" s="125"/>
      <c r="B117" s="125"/>
      <c r="C117" s="125"/>
      <c r="D117" s="125" t="s">
        <v>21</v>
      </c>
      <c r="E117" s="124" t="s">
        <v>22</v>
      </c>
      <c r="F117" s="115">
        <v>2315</v>
      </c>
      <c r="G117" s="115"/>
      <c r="H117" s="115">
        <v>2403</v>
      </c>
      <c r="I117" s="115">
        <v>2403</v>
      </c>
      <c r="J117" s="167">
        <f t="shared" si="6"/>
        <v>1</v>
      </c>
      <c r="K117" s="223"/>
      <c r="L117" s="224"/>
    </row>
    <row r="118" spans="1:12" ht="18.75">
      <c r="A118" s="125"/>
      <c r="B118" s="125"/>
      <c r="C118" s="125" t="s">
        <v>904</v>
      </c>
      <c r="D118" s="125"/>
      <c r="E118" s="124" t="s">
        <v>905</v>
      </c>
      <c r="F118" s="115"/>
      <c r="G118" s="115"/>
      <c r="H118" s="115">
        <f>H119</f>
        <v>207.9</v>
      </c>
      <c r="I118" s="115">
        <f>I119</f>
        <v>207.9</v>
      </c>
      <c r="J118" s="167">
        <f t="shared" si="6"/>
        <v>1</v>
      </c>
      <c r="K118" s="223"/>
      <c r="L118" s="224"/>
    </row>
    <row r="119" spans="1:12" ht="18.75">
      <c r="A119" s="125"/>
      <c r="B119" s="125"/>
      <c r="C119" s="125"/>
      <c r="D119" s="125" t="s">
        <v>21</v>
      </c>
      <c r="E119" s="124" t="s">
        <v>22</v>
      </c>
      <c r="F119" s="115"/>
      <c r="G119" s="115"/>
      <c r="H119" s="115">
        <v>207.9</v>
      </c>
      <c r="I119" s="115">
        <v>207.9</v>
      </c>
      <c r="J119" s="167">
        <f t="shared" si="6"/>
        <v>1</v>
      </c>
      <c r="K119" s="223"/>
      <c r="L119" s="224"/>
    </row>
    <row r="120" spans="1:12" ht="18.75">
      <c r="A120" s="125"/>
      <c r="B120" s="125"/>
      <c r="C120" s="125" t="s">
        <v>904</v>
      </c>
      <c r="D120" s="125"/>
      <c r="E120" s="124" t="s">
        <v>906</v>
      </c>
      <c r="F120" s="115"/>
      <c r="G120" s="115"/>
      <c r="H120" s="115">
        <f>H121</f>
        <v>312.1</v>
      </c>
      <c r="I120" s="115">
        <f>I121</f>
        <v>312.1</v>
      </c>
      <c r="J120" s="167">
        <f t="shared" si="6"/>
        <v>1</v>
      </c>
      <c r="K120" s="223"/>
      <c r="L120" s="224"/>
    </row>
    <row r="121" spans="1:12" ht="18.75">
      <c r="A121" s="125"/>
      <c r="B121" s="125"/>
      <c r="C121" s="125"/>
      <c r="D121" s="125" t="s">
        <v>21</v>
      </c>
      <c r="E121" s="124" t="s">
        <v>22</v>
      </c>
      <c r="F121" s="115"/>
      <c r="G121" s="115"/>
      <c r="H121" s="115">
        <v>312.1</v>
      </c>
      <c r="I121" s="115">
        <v>312.1</v>
      </c>
      <c r="J121" s="167">
        <f t="shared" si="6"/>
        <v>1</v>
      </c>
      <c r="K121" s="223"/>
      <c r="L121" s="224"/>
    </row>
    <row r="122" spans="1:12" ht="42.75" customHeight="1">
      <c r="A122" s="125"/>
      <c r="B122" s="125"/>
      <c r="C122" s="119" t="s">
        <v>904</v>
      </c>
      <c r="D122" s="119"/>
      <c r="E122" s="120" t="s">
        <v>907</v>
      </c>
      <c r="F122" s="131"/>
      <c r="G122" s="131"/>
      <c r="H122" s="131">
        <f>H123</f>
        <v>2561.8</v>
      </c>
      <c r="I122" s="131">
        <f>I123</f>
        <v>1559.3</v>
      </c>
      <c r="J122" s="169">
        <f t="shared" si="6"/>
        <v>0.6086735888828168</v>
      </c>
      <c r="K122" s="223"/>
      <c r="L122" s="224"/>
    </row>
    <row r="123" spans="1:12" ht="45" customHeight="1">
      <c r="A123" s="125"/>
      <c r="B123" s="125"/>
      <c r="C123" s="119"/>
      <c r="D123" s="119" t="s">
        <v>21</v>
      </c>
      <c r="E123" s="120" t="s">
        <v>22</v>
      </c>
      <c r="F123" s="131"/>
      <c r="G123" s="131"/>
      <c r="H123" s="131">
        <f>1559.3+1002.5</f>
        <v>2561.8</v>
      </c>
      <c r="I123" s="131">
        <v>1559.3</v>
      </c>
      <c r="J123" s="169">
        <f t="shared" si="6"/>
        <v>0.6086735888828168</v>
      </c>
      <c r="K123" s="223"/>
      <c r="L123" s="224"/>
    </row>
    <row r="124" spans="1:12" ht="18.75">
      <c r="A124" s="132"/>
      <c r="B124" s="132"/>
      <c r="C124" s="132" t="s">
        <v>442</v>
      </c>
      <c r="D124" s="132"/>
      <c r="E124" s="122" t="s">
        <v>440</v>
      </c>
      <c r="F124" s="130">
        <f>F125</f>
        <v>231.4</v>
      </c>
      <c r="G124" s="130">
        <f aca="true" t="shared" si="14" ref="G124:I126">G125</f>
        <v>0</v>
      </c>
      <c r="H124" s="130">
        <f t="shared" si="14"/>
        <v>231.4</v>
      </c>
      <c r="I124" s="130">
        <f t="shared" si="14"/>
        <v>231.4</v>
      </c>
      <c r="J124" s="166">
        <f t="shared" si="6"/>
        <v>1</v>
      </c>
      <c r="K124" s="223"/>
      <c r="L124" s="224"/>
    </row>
    <row r="125" spans="1:12" ht="37.5">
      <c r="A125" s="132"/>
      <c r="B125" s="132"/>
      <c r="C125" s="132" t="s">
        <v>441</v>
      </c>
      <c r="D125" s="132"/>
      <c r="E125" s="122" t="s">
        <v>908</v>
      </c>
      <c r="F125" s="130">
        <f>F126</f>
        <v>231.4</v>
      </c>
      <c r="G125" s="130">
        <f t="shared" si="14"/>
        <v>0</v>
      </c>
      <c r="H125" s="130">
        <f t="shared" si="14"/>
        <v>231.4</v>
      </c>
      <c r="I125" s="130">
        <f t="shared" si="14"/>
        <v>231.4</v>
      </c>
      <c r="J125" s="166">
        <f aca="true" t="shared" si="15" ref="J125:J188">I125/H125</f>
        <v>1</v>
      </c>
      <c r="K125" s="223"/>
      <c r="L125" s="224"/>
    </row>
    <row r="126" spans="1:12" ht="32.25" customHeight="1">
      <c r="A126" s="132"/>
      <c r="B126" s="132"/>
      <c r="C126" s="125" t="s">
        <v>451</v>
      </c>
      <c r="D126" s="125"/>
      <c r="E126" s="123" t="s">
        <v>772</v>
      </c>
      <c r="F126" s="115">
        <f>F127</f>
        <v>231.4</v>
      </c>
      <c r="G126" s="115">
        <f t="shared" si="14"/>
        <v>0</v>
      </c>
      <c r="H126" s="115">
        <f t="shared" si="14"/>
        <v>231.4</v>
      </c>
      <c r="I126" s="115">
        <f t="shared" si="14"/>
        <v>231.4</v>
      </c>
      <c r="J126" s="167">
        <f t="shared" si="15"/>
        <v>1</v>
      </c>
      <c r="K126" s="223"/>
      <c r="L126" s="224"/>
    </row>
    <row r="127" spans="1:12" ht="18.75">
      <c r="A127" s="125"/>
      <c r="B127" s="125"/>
      <c r="C127" s="125"/>
      <c r="D127" s="125" t="s">
        <v>21</v>
      </c>
      <c r="E127" s="124" t="s">
        <v>22</v>
      </c>
      <c r="F127" s="115">
        <v>231.4</v>
      </c>
      <c r="G127" s="115"/>
      <c r="H127" s="115">
        <f>SUM(F127:G127)</f>
        <v>231.4</v>
      </c>
      <c r="I127" s="115">
        <v>231.4</v>
      </c>
      <c r="J127" s="167">
        <f t="shared" si="15"/>
        <v>1</v>
      </c>
      <c r="K127" s="223"/>
      <c r="L127" s="224"/>
    </row>
    <row r="128" spans="1:12" ht="37.5">
      <c r="A128" s="132"/>
      <c r="B128" s="132"/>
      <c r="C128" s="132" t="s">
        <v>269</v>
      </c>
      <c r="D128" s="132" t="s">
        <v>766</v>
      </c>
      <c r="E128" s="122" t="s">
        <v>412</v>
      </c>
      <c r="F128" s="130">
        <f>F129+F134</f>
        <v>16391.1</v>
      </c>
      <c r="G128" s="130">
        <f>G129+G134</f>
        <v>0</v>
      </c>
      <c r="H128" s="130">
        <f>H129+H134</f>
        <v>16430.6</v>
      </c>
      <c r="I128" s="130">
        <f>I129+I134</f>
        <v>15990.300000000001</v>
      </c>
      <c r="J128" s="166">
        <f t="shared" si="15"/>
        <v>0.9732024393509673</v>
      </c>
      <c r="K128" s="223"/>
      <c r="L128" s="224"/>
    </row>
    <row r="129" spans="1:12" ht="24" customHeight="1">
      <c r="A129" s="132"/>
      <c r="B129" s="132"/>
      <c r="C129" s="132" t="s">
        <v>270</v>
      </c>
      <c r="D129" s="132" t="s">
        <v>766</v>
      </c>
      <c r="E129" s="122" t="s">
        <v>271</v>
      </c>
      <c r="F129" s="130">
        <f aca="true" t="shared" si="16" ref="F129:I130">F130</f>
        <v>419.1</v>
      </c>
      <c r="G129" s="130">
        <f t="shared" si="16"/>
        <v>0</v>
      </c>
      <c r="H129" s="130">
        <f t="shared" si="16"/>
        <v>490.9</v>
      </c>
      <c r="I129" s="130">
        <f t="shared" si="16"/>
        <v>473.70000000000005</v>
      </c>
      <c r="J129" s="166">
        <f t="shared" si="15"/>
        <v>0.9649623141169282</v>
      </c>
      <c r="K129" s="223"/>
      <c r="L129" s="224"/>
    </row>
    <row r="130" spans="1:12" ht="37.5">
      <c r="A130" s="132"/>
      <c r="B130" s="132"/>
      <c r="C130" s="132" t="s">
        <v>272</v>
      </c>
      <c r="D130" s="132"/>
      <c r="E130" s="122" t="s">
        <v>273</v>
      </c>
      <c r="F130" s="130">
        <f t="shared" si="16"/>
        <v>419.1</v>
      </c>
      <c r="G130" s="130">
        <f t="shared" si="16"/>
        <v>0</v>
      </c>
      <c r="H130" s="130">
        <f t="shared" si="16"/>
        <v>490.9</v>
      </c>
      <c r="I130" s="130">
        <f t="shared" si="16"/>
        <v>473.70000000000005</v>
      </c>
      <c r="J130" s="166">
        <f t="shared" si="15"/>
        <v>0.9649623141169282</v>
      </c>
      <c r="K130" s="223"/>
      <c r="L130" s="224"/>
    </row>
    <row r="131" spans="1:12" ht="18.75">
      <c r="A131" s="132"/>
      <c r="B131" s="132"/>
      <c r="C131" s="125" t="s">
        <v>274</v>
      </c>
      <c r="D131" s="125" t="s">
        <v>766</v>
      </c>
      <c r="E131" s="123" t="s">
        <v>275</v>
      </c>
      <c r="F131" s="115">
        <f>F132+F133</f>
        <v>419.1</v>
      </c>
      <c r="G131" s="115">
        <f>G132+G133</f>
        <v>0</v>
      </c>
      <c r="H131" s="115">
        <f>H132+H133</f>
        <v>490.9</v>
      </c>
      <c r="I131" s="115">
        <f>I132+I133</f>
        <v>473.70000000000005</v>
      </c>
      <c r="J131" s="167">
        <f t="shared" si="15"/>
        <v>0.9649623141169282</v>
      </c>
      <c r="K131" s="223"/>
      <c r="L131" s="224"/>
    </row>
    <row r="132" spans="1:12" ht="37.5">
      <c r="A132" s="125"/>
      <c r="B132" s="125"/>
      <c r="C132" s="125"/>
      <c r="D132" s="125" t="s">
        <v>46</v>
      </c>
      <c r="E132" s="124" t="s">
        <v>47</v>
      </c>
      <c r="F132" s="115">
        <v>219.1</v>
      </c>
      <c r="G132" s="115"/>
      <c r="H132" s="115">
        <v>265.9</v>
      </c>
      <c r="I132" s="115">
        <v>254.8</v>
      </c>
      <c r="J132" s="167">
        <f t="shared" si="15"/>
        <v>0.9582549830763446</v>
      </c>
      <c r="K132" s="223"/>
      <c r="L132" s="224"/>
    </row>
    <row r="133" spans="1:12" ht="23.25" customHeight="1">
      <c r="A133" s="125"/>
      <c r="B133" s="125"/>
      <c r="C133" s="125"/>
      <c r="D133" s="125" t="s">
        <v>27</v>
      </c>
      <c r="E133" s="124" t="s">
        <v>28</v>
      </c>
      <c r="F133" s="115">
        <v>200</v>
      </c>
      <c r="G133" s="115"/>
      <c r="H133" s="115">
        <v>225</v>
      </c>
      <c r="I133" s="115">
        <v>218.9</v>
      </c>
      <c r="J133" s="167">
        <f t="shared" si="15"/>
        <v>0.9728888888888889</v>
      </c>
      <c r="K133" s="223"/>
      <c r="L133" s="224"/>
    </row>
    <row r="134" spans="1:12" ht="56.25" customHeight="1">
      <c r="A134" s="132"/>
      <c r="B134" s="132"/>
      <c r="C134" s="132" t="s">
        <v>276</v>
      </c>
      <c r="D134" s="132" t="s">
        <v>766</v>
      </c>
      <c r="E134" s="122" t="s">
        <v>277</v>
      </c>
      <c r="F134" s="130">
        <f>F135</f>
        <v>15971.999999999998</v>
      </c>
      <c r="G134" s="130">
        <f>G135</f>
        <v>0</v>
      </c>
      <c r="H134" s="130">
        <f>H135</f>
        <v>15939.699999999999</v>
      </c>
      <c r="I134" s="130">
        <f>I135</f>
        <v>15516.6</v>
      </c>
      <c r="J134" s="166">
        <f t="shared" si="15"/>
        <v>0.9734562131031326</v>
      </c>
      <c r="K134" s="223"/>
      <c r="L134" s="224"/>
    </row>
    <row r="135" spans="1:12" ht="37.5">
      <c r="A135" s="132"/>
      <c r="B135" s="132"/>
      <c r="C135" s="132" t="s">
        <v>278</v>
      </c>
      <c r="D135" s="132"/>
      <c r="E135" s="122" t="s">
        <v>42</v>
      </c>
      <c r="F135" s="130">
        <f>F136+F140+F142+F144+F146</f>
        <v>15971.999999999998</v>
      </c>
      <c r="G135" s="130">
        <f>G136+G140+G142+G144+G146+G138</f>
        <v>0</v>
      </c>
      <c r="H135" s="130">
        <f>H136+H140+H142+H144+H146+H138</f>
        <v>15939.699999999999</v>
      </c>
      <c r="I135" s="130">
        <f>I136+I140+I142+I144+I146+I138</f>
        <v>15516.6</v>
      </c>
      <c r="J135" s="166">
        <f t="shared" si="15"/>
        <v>0.9734562131031326</v>
      </c>
      <c r="K135" s="223"/>
      <c r="L135" s="224"/>
    </row>
    <row r="136" spans="1:12" ht="37.5">
      <c r="A136" s="132"/>
      <c r="B136" s="132"/>
      <c r="C136" s="125" t="s">
        <v>280</v>
      </c>
      <c r="D136" s="125" t="s">
        <v>766</v>
      </c>
      <c r="E136" s="123" t="s">
        <v>507</v>
      </c>
      <c r="F136" s="115">
        <f>F137</f>
        <v>5225.2</v>
      </c>
      <c r="G136" s="115">
        <f>G137</f>
        <v>0</v>
      </c>
      <c r="H136" s="115">
        <f>H137</f>
        <v>5392.3</v>
      </c>
      <c r="I136" s="115">
        <f>I137</f>
        <v>5035</v>
      </c>
      <c r="J136" s="167">
        <f t="shared" si="15"/>
        <v>0.9337388498414405</v>
      </c>
      <c r="K136" s="223"/>
      <c r="L136" s="224"/>
    </row>
    <row r="137" spans="1:12" ht="18.75">
      <c r="A137" s="125"/>
      <c r="B137" s="125"/>
      <c r="C137" s="125"/>
      <c r="D137" s="125" t="s">
        <v>27</v>
      </c>
      <c r="E137" s="124" t="s">
        <v>28</v>
      </c>
      <c r="F137" s="115">
        <v>5225.2</v>
      </c>
      <c r="G137" s="115"/>
      <c r="H137" s="115">
        <v>5392.3</v>
      </c>
      <c r="I137" s="115">
        <v>5035</v>
      </c>
      <c r="J137" s="167">
        <f t="shared" si="15"/>
        <v>0.9337388498414405</v>
      </c>
      <c r="K137" s="223"/>
      <c r="L137" s="224"/>
    </row>
    <row r="138" spans="1:12" ht="18.75">
      <c r="A138" s="125"/>
      <c r="B138" s="125"/>
      <c r="C138" s="125" t="s">
        <v>281</v>
      </c>
      <c r="D138" s="125" t="s">
        <v>766</v>
      </c>
      <c r="E138" s="123" t="s">
        <v>506</v>
      </c>
      <c r="F138" s="115">
        <f>F139</f>
        <v>0</v>
      </c>
      <c r="G138" s="115">
        <f>G139</f>
        <v>91.3</v>
      </c>
      <c r="H138" s="115">
        <f>H139</f>
        <v>77.1</v>
      </c>
      <c r="I138" s="115">
        <f>I139</f>
        <v>77.1</v>
      </c>
      <c r="J138" s="167">
        <f t="shared" si="15"/>
        <v>1</v>
      </c>
      <c r="K138" s="223"/>
      <c r="L138" s="224"/>
    </row>
    <row r="139" spans="1:12" ht="18.75">
      <c r="A139" s="125"/>
      <c r="B139" s="125"/>
      <c r="C139" s="125"/>
      <c r="D139" s="125" t="s">
        <v>21</v>
      </c>
      <c r="E139" s="124" t="s">
        <v>22</v>
      </c>
      <c r="F139" s="115"/>
      <c r="G139" s="115">
        <v>91.3</v>
      </c>
      <c r="H139" s="115">
        <v>77.1</v>
      </c>
      <c r="I139" s="115">
        <v>77.1</v>
      </c>
      <c r="J139" s="167">
        <f t="shared" si="15"/>
        <v>1</v>
      </c>
      <c r="K139" s="223"/>
      <c r="L139" s="224"/>
    </row>
    <row r="140" spans="1:12" ht="18.75">
      <c r="A140" s="132"/>
      <c r="B140" s="132"/>
      <c r="C140" s="125" t="s">
        <v>282</v>
      </c>
      <c r="D140" s="125" t="s">
        <v>766</v>
      </c>
      <c r="E140" s="123" t="s">
        <v>773</v>
      </c>
      <c r="F140" s="115">
        <f>F141</f>
        <v>4986.6</v>
      </c>
      <c r="G140" s="115">
        <f>G141</f>
        <v>-91.3</v>
      </c>
      <c r="H140" s="115">
        <f>H141</f>
        <v>4895.3</v>
      </c>
      <c r="I140" s="115">
        <f>I141</f>
        <v>4877.2</v>
      </c>
      <c r="J140" s="167">
        <f t="shared" si="15"/>
        <v>0.9963025759401875</v>
      </c>
      <c r="K140" s="223"/>
      <c r="L140" s="224"/>
    </row>
    <row r="141" spans="1:12" ht="18.75">
      <c r="A141" s="125"/>
      <c r="B141" s="125"/>
      <c r="C141" s="125"/>
      <c r="D141" s="125" t="s">
        <v>21</v>
      </c>
      <c r="E141" s="124" t="s">
        <v>22</v>
      </c>
      <c r="F141" s="115">
        <f>5036.6-50</f>
        <v>4986.6</v>
      </c>
      <c r="G141" s="115">
        <v>-91.3</v>
      </c>
      <c r="H141" s="115">
        <f>SUM(F141:G141)</f>
        <v>4895.3</v>
      </c>
      <c r="I141" s="115">
        <v>4877.2</v>
      </c>
      <c r="J141" s="167">
        <f t="shared" si="15"/>
        <v>0.9963025759401875</v>
      </c>
      <c r="K141" s="223"/>
      <c r="L141" s="224"/>
    </row>
    <row r="142" spans="1:12" ht="18.75">
      <c r="A142" s="132"/>
      <c r="B142" s="132"/>
      <c r="C142" s="125" t="s">
        <v>284</v>
      </c>
      <c r="D142" s="125" t="s">
        <v>766</v>
      </c>
      <c r="E142" s="123" t="s">
        <v>774</v>
      </c>
      <c r="F142" s="115">
        <f>F143</f>
        <v>1308</v>
      </c>
      <c r="G142" s="115">
        <f>G143</f>
        <v>0</v>
      </c>
      <c r="H142" s="115">
        <f>H143</f>
        <v>1053.9</v>
      </c>
      <c r="I142" s="115">
        <f>I143</f>
        <v>1011.6</v>
      </c>
      <c r="J142" s="167">
        <f t="shared" si="15"/>
        <v>0.959863364645602</v>
      </c>
      <c r="K142" s="223"/>
      <c r="L142" s="224"/>
    </row>
    <row r="143" spans="1:12" ht="18.75">
      <c r="A143" s="125"/>
      <c r="B143" s="125"/>
      <c r="C143" s="125"/>
      <c r="D143" s="125" t="s">
        <v>32</v>
      </c>
      <c r="E143" s="124" t="s">
        <v>33</v>
      </c>
      <c r="F143" s="115">
        <v>1308</v>
      </c>
      <c r="G143" s="115"/>
      <c r="H143" s="115">
        <v>1053.9</v>
      </c>
      <c r="I143" s="115">
        <v>1011.6</v>
      </c>
      <c r="J143" s="167">
        <f t="shared" si="15"/>
        <v>0.959863364645602</v>
      </c>
      <c r="K143" s="223"/>
      <c r="L143" s="224"/>
    </row>
    <row r="144" spans="1:12" ht="37.5">
      <c r="A144" s="125"/>
      <c r="B144" s="125"/>
      <c r="C144" s="126" t="s">
        <v>326</v>
      </c>
      <c r="D144" s="119"/>
      <c r="E144" s="120" t="s">
        <v>286</v>
      </c>
      <c r="F144" s="168">
        <f>F145</f>
        <v>713.8</v>
      </c>
      <c r="G144" s="168">
        <f>G145</f>
        <v>0</v>
      </c>
      <c r="H144" s="131">
        <f>H145</f>
        <v>713.8</v>
      </c>
      <c r="I144" s="131">
        <f>I145</f>
        <v>713.8</v>
      </c>
      <c r="J144" s="169">
        <f t="shared" si="15"/>
        <v>1</v>
      </c>
      <c r="K144" s="223"/>
      <c r="L144" s="224"/>
    </row>
    <row r="145" spans="1:12" ht="18.75">
      <c r="A145" s="125"/>
      <c r="B145" s="125"/>
      <c r="C145" s="126"/>
      <c r="D145" s="119" t="s">
        <v>21</v>
      </c>
      <c r="E145" s="120" t="s">
        <v>22</v>
      </c>
      <c r="F145" s="168">
        <v>713.8</v>
      </c>
      <c r="G145" s="115"/>
      <c r="H145" s="131">
        <v>713.8</v>
      </c>
      <c r="I145" s="131">
        <v>713.8</v>
      </c>
      <c r="J145" s="169">
        <f t="shared" si="15"/>
        <v>1</v>
      </c>
      <c r="K145" s="223"/>
      <c r="L145" s="224"/>
    </row>
    <row r="146" spans="1:12" ht="25.5" customHeight="1">
      <c r="A146" s="125"/>
      <c r="B146" s="125"/>
      <c r="C146" s="126" t="s">
        <v>418</v>
      </c>
      <c r="D146" s="119"/>
      <c r="E146" s="120" t="s">
        <v>417</v>
      </c>
      <c r="F146" s="168">
        <f>F147+F148</f>
        <v>3738.4</v>
      </c>
      <c r="G146" s="168">
        <f>G147+G148</f>
        <v>0</v>
      </c>
      <c r="H146" s="131">
        <f>H147+H148</f>
        <v>3807.3</v>
      </c>
      <c r="I146" s="131">
        <f>I147+I148</f>
        <v>3801.9</v>
      </c>
      <c r="J146" s="169">
        <f t="shared" si="15"/>
        <v>0.9985816720510597</v>
      </c>
      <c r="K146" s="223"/>
      <c r="L146" s="224"/>
    </row>
    <row r="147" spans="1:12" ht="37.5">
      <c r="A147" s="125"/>
      <c r="B147" s="125"/>
      <c r="C147" s="126"/>
      <c r="D147" s="119" t="s">
        <v>46</v>
      </c>
      <c r="E147" s="120" t="s">
        <v>47</v>
      </c>
      <c r="F147" s="168">
        <v>2736.8</v>
      </c>
      <c r="G147" s="115"/>
      <c r="H147" s="131">
        <v>3015.8</v>
      </c>
      <c r="I147" s="131">
        <v>3015.8</v>
      </c>
      <c r="J147" s="169">
        <f t="shared" si="15"/>
        <v>1</v>
      </c>
      <c r="K147" s="223"/>
      <c r="L147" s="224"/>
    </row>
    <row r="148" spans="1:12" ht="27" customHeight="1">
      <c r="A148" s="125"/>
      <c r="B148" s="125"/>
      <c r="C148" s="126"/>
      <c r="D148" s="119" t="s">
        <v>27</v>
      </c>
      <c r="E148" s="120" t="s">
        <v>28</v>
      </c>
      <c r="F148" s="168">
        <v>1001.6</v>
      </c>
      <c r="G148" s="115"/>
      <c r="H148" s="131">
        <v>791.5</v>
      </c>
      <c r="I148" s="131">
        <v>786.1</v>
      </c>
      <c r="J148" s="169">
        <f t="shared" si="15"/>
        <v>0.993177511054959</v>
      </c>
      <c r="K148" s="223"/>
      <c r="L148" s="224"/>
    </row>
    <row r="149" spans="1:12" ht="18.75">
      <c r="A149" s="132"/>
      <c r="B149" s="132"/>
      <c r="C149" s="132" t="s">
        <v>291</v>
      </c>
      <c r="D149" s="132" t="s">
        <v>766</v>
      </c>
      <c r="E149" s="122" t="s">
        <v>292</v>
      </c>
      <c r="F149" s="130">
        <f>F150+F155+F160</f>
        <v>3109.8</v>
      </c>
      <c r="G149" s="130">
        <f>G150+G155+G160</f>
        <v>0</v>
      </c>
      <c r="H149" s="130">
        <f>H150+H155+H160</f>
        <v>3194.5</v>
      </c>
      <c r="I149" s="130">
        <f>I150+I155+I160</f>
        <v>3173.1</v>
      </c>
      <c r="J149" s="166">
        <f t="shared" si="15"/>
        <v>0.9933009860698074</v>
      </c>
      <c r="K149" s="223"/>
      <c r="L149" s="224"/>
    </row>
    <row r="150" spans="1:12" ht="37.5">
      <c r="A150" s="132"/>
      <c r="B150" s="132"/>
      <c r="C150" s="132" t="s">
        <v>293</v>
      </c>
      <c r="D150" s="132" t="s">
        <v>766</v>
      </c>
      <c r="E150" s="122" t="s">
        <v>294</v>
      </c>
      <c r="F150" s="130">
        <f>F151</f>
        <v>320</v>
      </c>
      <c r="G150" s="130">
        <f aca="true" t="shared" si="17" ref="G150:I152">G151</f>
        <v>0</v>
      </c>
      <c r="H150" s="130">
        <f t="shared" si="17"/>
        <v>303.8</v>
      </c>
      <c r="I150" s="130">
        <f t="shared" si="17"/>
        <v>303.4</v>
      </c>
      <c r="J150" s="166">
        <f t="shared" si="15"/>
        <v>0.998683344305464</v>
      </c>
      <c r="K150" s="223"/>
      <c r="L150" s="224"/>
    </row>
    <row r="151" spans="1:12" ht="18.75">
      <c r="A151" s="132"/>
      <c r="B151" s="132"/>
      <c r="C151" s="132" t="s">
        <v>295</v>
      </c>
      <c r="D151" s="132"/>
      <c r="E151" s="122" t="s">
        <v>296</v>
      </c>
      <c r="F151" s="130">
        <f>F152</f>
        <v>320</v>
      </c>
      <c r="G151" s="130">
        <f t="shared" si="17"/>
        <v>0</v>
      </c>
      <c r="H151" s="130">
        <f t="shared" si="17"/>
        <v>303.8</v>
      </c>
      <c r="I151" s="130">
        <f t="shared" si="17"/>
        <v>303.4</v>
      </c>
      <c r="J151" s="166">
        <f t="shared" si="15"/>
        <v>0.998683344305464</v>
      </c>
      <c r="K151" s="223"/>
      <c r="L151" s="224"/>
    </row>
    <row r="152" spans="1:12" ht="18.75">
      <c r="A152" s="132"/>
      <c r="B152" s="132"/>
      <c r="C152" s="125" t="s">
        <v>297</v>
      </c>
      <c r="D152" s="125" t="s">
        <v>766</v>
      </c>
      <c r="E152" s="123" t="s">
        <v>909</v>
      </c>
      <c r="F152" s="115">
        <f>F153</f>
        <v>320</v>
      </c>
      <c r="G152" s="115">
        <f t="shared" si="17"/>
        <v>0</v>
      </c>
      <c r="H152" s="115">
        <f>H153+H154</f>
        <v>303.8</v>
      </c>
      <c r="I152" s="115">
        <f>I153+I154</f>
        <v>303.4</v>
      </c>
      <c r="J152" s="167">
        <f t="shared" si="15"/>
        <v>0.998683344305464</v>
      </c>
      <c r="K152" s="223"/>
      <c r="L152" s="224"/>
    </row>
    <row r="153" spans="1:12" ht="18.75">
      <c r="A153" s="125"/>
      <c r="B153" s="125"/>
      <c r="C153" s="125"/>
      <c r="D153" s="125" t="s">
        <v>27</v>
      </c>
      <c r="E153" s="124" t="s">
        <v>28</v>
      </c>
      <c r="F153" s="115">
        <v>320</v>
      </c>
      <c r="G153" s="115"/>
      <c r="H153" s="115">
        <v>296.1</v>
      </c>
      <c r="I153" s="115">
        <v>295.7</v>
      </c>
      <c r="J153" s="167">
        <f t="shared" si="15"/>
        <v>0.9986491050320836</v>
      </c>
      <c r="K153" s="223"/>
      <c r="L153" s="224"/>
    </row>
    <row r="154" spans="1:12" ht="18.75">
      <c r="A154" s="125"/>
      <c r="B154" s="125"/>
      <c r="C154" s="125"/>
      <c r="D154" s="125" t="s">
        <v>21</v>
      </c>
      <c r="E154" s="124" t="s">
        <v>22</v>
      </c>
      <c r="F154" s="115"/>
      <c r="G154" s="115"/>
      <c r="H154" s="115">
        <v>7.7</v>
      </c>
      <c r="I154" s="115">
        <v>7.7</v>
      </c>
      <c r="J154" s="167">
        <f t="shared" si="15"/>
        <v>1</v>
      </c>
      <c r="K154" s="223"/>
      <c r="L154" s="224"/>
    </row>
    <row r="155" spans="1:12" ht="18.75">
      <c r="A155" s="132"/>
      <c r="B155" s="132"/>
      <c r="C155" s="132" t="s">
        <v>298</v>
      </c>
      <c r="D155" s="132" t="s">
        <v>766</v>
      </c>
      <c r="E155" s="122" t="s">
        <v>299</v>
      </c>
      <c r="F155" s="130">
        <f aca="true" t="shared" si="18" ref="F155:I156">F156</f>
        <v>2579.8</v>
      </c>
      <c r="G155" s="130">
        <f t="shared" si="18"/>
        <v>0</v>
      </c>
      <c r="H155" s="130">
        <f t="shared" si="18"/>
        <v>2675.7</v>
      </c>
      <c r="I155" s="130">
        <f t="shared" si="18"/>
        <v>2654.7</v>
      </c>
      <c r="J155" s="166">
        <f t="shared" si="15"/>
        <v>0.9921515865007288</v>
      </c>
      <c r="K155" s="223"/>
      <c r="L155" s="224"/>
    </row>
    <row r="156" spans="1:12" ht="18.75">
      <c r="A156" s="132"/>
      <c r="B156" s="132"/>
      <c r="C156" s="132" t="s">
        <v>300</v>
      </c>
      <c r="D156" s="132"/>
      <c r="E156" s="122" t="s">
        <v>414</v>
      </c>
      <c r="F156" s="130">
        <f t="shared" si="18"/>
        <v>2579.8</v>
      </c>
      <c r="G156" s="130">
        <f t="shared" si="18"/>
        <v>0</v>
      </c>
      <c r="H156" s="130">
        <f t="shared" si="18"/>
        <v>2675.7</v>
      </c>
      <c r="I156" s="130">
        <f t="shared" si="18"/>
        <v>2654.7</v>
      </c>
      <c r="J156" s="166">
        <f t="shared" si="15"/>
        <v>0.9921515865007288</v>
      </c>
      <c r="K156" s="223"/>
      <c r="L156" s="224"/>
    </row>
    <row r="157" spans="1:12" ht="18.75">
      <c r="A157" s="132"/>
      <c r="B157" s="132"/>
      <c r="C157" s="125" t="s">
        <v>301</v>
      </c>
      <c r="D157" s="125" t="s">
        <v>766</v>
      </c>
      <c r="E157" s="123" t="s">
        <v>302</v>
      </c>
      <c r="F157" s="115">
        <f>F158+F159</f>
        <v>2579.8</v>
      </c>
      <c r="G157" s="115">
        <f>G158+G159</f>
        <v>0</v>
      </c>
      <c r="H157" s="115">
        <f>H158+H159</f>
        <v>2675.7</v>
      </c>
      <c r="I157" s="115">
        <f>I158+I159</f>
        <v>2654.7</v>
      </c>
      <c r="J157" s="167">
        <f t="shared" si="15"/>
        <v>0.9921515865007288</v>
      </c>
      <c r="K157" s="223"/>
      <c r="L157" s="224"/>
    </row>
    <row r="158" spans="1:12" ht="18.75">
      <c r="A158" s="125"/>
      <c r="B158" s="125"/>
      <c r="C158" s="125"/>
      <c r="D158" s="125" t="s">
        <v>27</v>
      </c>
      <c r="E158" s="124" t="s">
        <v>28</v>
      </c>
      <c r="F158" s="115">
        <v>2187.8</v>
      </c>
      <c r="G158" s="115"/>
      <c r="H158" s="115">
        <v>1380.1</v>
      </c>
      <c r="I158" s="115">
        <v>1360.7</v>
      </c>
      <c r="J158" s="167">
        <f t="shared" si="15"/>
        <v>0.9859430476052461</v>
      </c>
      <c r="K158" s="223"/>
      <c r="L158" s="224"/>
    </row>
    <row r="159" spans="1:12" ht="18.75">
      <c r="A159" s="125"/>
      <c r="B159" s="125"/>
      <c r="C159" s="125"/>
      <c r="D159" s="125" t="s">
        <v>21</v>
      </c>
      <c r="E159" s="124" t="s">
        <v>22</v>
      </c>
      <c r="F159" s="115">
        <v>392</v>
      </c>
      <c r="G159" s="115"/>
      <c r="H159" s="115">
        <v>1295.6</v>
      </c>
      <c r="I159" s="115">
        <v>1294</v>
      </c>
      <c r="J159" s="167">
        <f t="shared" si="15"/>
        <v>0.9987650509416487</v>
      </c>
      <c r="K159" s="223"/>
      <c r="L159" s="224"/>
    </row>
    <row r="160" spans="1:12" ht="37.5">
      <c r="A160" s="132"/>
      <c r="B160" s="132"/>
      <c r="C160" s="132" t="s">
        <v>303</v>
      </c>
      <c r="D160" s="132" t="s">
        <v>766</v>
      </c>
      <c r="E160" s="122" t="s">
        <v>304</v>
      </c>
      <c r="F160" s="130">
        <f>F161</f>
        <v>210</v>
      </c>
      <c r="G160" s="130">
        <f aca="true" t="shared" si="19" ref="G160:I162">G161</f>
        <v>0</v>
      </c>
      <c r="H160" s="130">
        <f t="shared" si="19"/>
        <v>215</v>
      </c>
      <c r="I160" s="130">
        <f t="shared" si="19"/>
        <v>215</v>
      </c>
      <c r="J160" s="166">
        <f t="shared" si="15"/>
        <v>1</v>
      </c>
      <c r="K160" s="223"/>
      <c r="L160" s="224"/>
    </row>
    <row r="161" spans="1:12" ht="37.5">
      <c r="A161" s="132"/>
      <c r="B161" s="132"/>
      <c r="C161" s="132" t="s">
        <v>305</v>
      </c>
      <c r="D161" s="132"/>
      <c r="E161" s="122" t="s">
        <v>42</v>
      </c>
      <c r="F161" s="130">
        <f>F162</f>
        <v>210</v>
      </c>
      <c r="G161" s="130">
        <f t="shared" si="19"/>
        <v>0</v>
      </c>
      <c r="H161" s="130">
        <f t="shared" si="19"/>
        <v>215</v>
      </c>
      <c r="I161" s="130">
        <f t="shared" si="19"/>
        <v>215</v>
      </c>
      <c r="J161" s="166">
        <f t="shared" si="15"/>
        <v>1</v>
      </c>
      <c r="K161" s="223"/>
      <c r="L161" s="224"/>
    </row>
    <row r="162" spans="1:12" ht="18.75">
      <c r="A162" s="132"/>
      <c r="B162" s="125"/>
      <c r="C162" s="125" t="s">
        <v>306</v>
      </c>
      <c r="D162" s="125" t="s">
        <v>766</v>
      </c>
      <c r="E162" s="123" t="s">
        <v>506</v>
      </c>
      <c r="F162" s="115">
        <f>F163</f>
        <v>210</v>
      </c>
      <c r="G162" s="115">
        <f t="shared" si="19"/>
        <v>0</v>
      </c>
      <c r="H162" s="115">
        <f t="shared" si="19"/>
        <v>215</v>
      </c>
      <c r="I162" s="115">
        <f t="shared" si="19"/>
        <v>215</v>
      </c>
      <c r="J162" s="167">
        <f t="shared" si="15"/>
        <v>1</v>
      </c>
      <c r="K162" s="223"/>
      <c r="L162" s="224"/>
    </row>
    <row r="163" spans="1:12" ht="18.75">
      <c r="A163" s="125"/>
      <c r="B163" s="125"/>
      <c r="C163" s="125"/>
      <c r="D163" s="125" t="s">
        <v>62</v>
      </c>
      <c r="E163" s="124" t="s">
        <v>63</v>
      </c>
      <c r="F163" s="115">
        <v>210</v>
      </c>
      <c r="G163" s="115"/>
      <c r="H163" s="115">
        <v>215</v>
      </c>
      <c r="I163" s="115">
        <v>215</v>
      </c>
      <c r="J163" s="167">
        <f t="shared" si="15"/>
        <v>1</v>
      </c>
      <c r="K163" s="223"/>
      <c r="L163" s="224"/>
    </row>
    <row r="164" spans="1:12" ht="18.75">
      <c r="A164" s="132"/>
      <c r="B164" s="132"/>
      <c r="C164" s="132" t="s">
        <v>321</v>
      </c>
      <c r="D164" s="132" t="s">
        <v>766</v>
      </c>
      <c r="E164" s="122" t="s">
        <v>322</v>
      </c>
      <c r="F164" s="130">
        <f>F170+F172</f>
        <v>200</v>
      </c>
      <c r="G164" s="130">
        <f>G170+G172</f>
        <v>0</v>
      </c>
      <c r="H164" s="130">
        <f>H170+H172+H168+H165</f>
        <v>6867.05574</v>
      </c>
      <c r="I164" s="130">
        <f>I170+I172+I168+I165</f>
        <v>2947.3</v>
      </c>
      <c r="J164" s="166">
        <f t="shared" si="15"/>
        <v>0.4291941279626194</v>
      </c>
      <c r="K164" s="223"/>
      <c r="L164" s="224"/>
    </row>
    <row r="165" spans="1:12" ht="37.5">
      <c r="A165" s="132"/>
      <c r="B165" s="132"/>
      <c r="C165" s="125" t="s">
        <v>910</v>
      </c>
      <c r="D165" s="125" t="s">
        <v>766</v>
      </c>
      <c r="E165" s="123" t="s">
        <v>911</v>
      </c>
      <c r="F165" s="130"/>
      <c r="G165" s="130"/>
      <c r="H165" s="115">
        <f>H166+H167</f>
        <v>5200</v>
      </c>
      <c r="I165" s="115">
        <f>I166+I167</f>
        <v>1480.3000000000002</v>
      </c>
      <c r="J165" s="167">
        <f t="shared" si="15"/>
        <v>0.284673076923077</v>
      </c>
      <c r="K165" s="223"/>
      <c r="L165" s="224"/>
    </row>
    <row r="166" spans="1:12" ht="37.5">
      <c r="A166" s="132"/>
      <c r="B166" s="132"/>
      <c r="C166" s="125"/>
      <c r="D166" s="125" t="s">
        <v>46</v>
      </c>
      <c r="E166" s="124" t="s">
        <v>47</v>
      </c>
      <c r="F166" s="130"/>
      <c r="G166" s="130"/>
      <c r="H166" s="115">
        <v>5080.6</v>
      </c>
      <c r="I166" s="115">
        <v>1360.9</v>
      </c>
      <c r="J166" s="167">
        <f t="shared" si="15"/>
        <v>0.26786206353580283</v>
      </c>
      <c r="K166" s="223"/>
      <c r="L166" s="224"/>
    </row>
    <row r="167" spans="1:12" ht="18.75">
      <c r="A167" s="132"/>
      <c r="B167" s="132"/>
      <c r="C167" s="125"/>
      <c r="D167" s="125" t="s">
        <v>27</v>
      </c>
      <c r="E167" s="124" t="s">
        <v>28</v>
      </c>
      <c r="F167" s="130"/>
      <c r="G167" s="130"/>
      <c r="H167" s="115">
        <v>119.4</v>
      </c>
      <c r="I167" s="115">
        <v>119.4</v>
      </c>
      <c r="J167" s="167">
        <f t="shared" si="15"/>
        <v>1</v>
      </c>
      <c r="K167" s="223"/>
      <c r="L167" s="224"/>
    </row>
    <row r="168" spans="1:12" ht="18.75">
      <c r="A168" s="132"/>
      <c r="B168" s="132"/>
      <c r="C168" s="125" t="s">
        <v>420</v>
      </c>
      <c r="D168" s="132"/>
      <c r="E168" s="123" t="s">
        <v>421</v>
      </c>
      <c r="F168" s="130"/>
      <c r="G168" s="130"/>
      <c r="H168" s="115">
        <f>H169</f>
        <v>1467</v>
      </c>
      <c r="I168" s="115">
        <f>I169</f>
        <v>1467</v>
      </c>
      <c r="J168" s="167">
        <f t="shared" si="15"/>
        <v>1</v>
      </c>
      <c r="K168" s="223"/>
      <c r="L168" s="224"/>
    </row>
    <row r="169" spans="1:12" ht="18.75">
      <c r="A169" s="132"/>
      <c r="B169" s="132"/>
      <c r="C169" s="132"/>
      <c r="D169" s="125" t="s">
        <v>62</v>
      </c>
      <c r="E169" s="124" t="s">
        <v>63</v>
      </c>
      <c r="F169" s="130"/>
      <c r="G169" s="130"/>
      <c r="H169" s="115">
        <v>1467</v>
      </c>
      <c r="I169" s="115">
        <v>1467</v>
      </c>
      <c r="J169" s="167">
        <f t="shared" si="15"/>
        <v>1</v>
      </c>
      <c r="K169" s="223"/>
      <c r="L169" s="224"/>
    </row>
    <row r="170" spans="1:12" ht="18.75">
      <c r="A170" s="125"/>
      <c r="B170" s="125"/>
      <c r="C170" s="127" t="s">
        <v>912</v>
      </c>
      <c r="D170" s="125"/>
      <c r="E170" s="123" t="s">
        <v>913</v>
      </c>
      <c r="F170" s="115">
        <f>F171</f>
        <v>200</v>
      </c>
      <c r="G170" s="115">
        <f>G171</f>
        <v>0</v>
      </c>
      <c r="H170" s="115">
        <f>H171</f>
        <v>200</v>
      </c>
      <c r="I170" s="115">
        <f>I171</f>
        <v>0</v>
      </c>
      <c r="J170" s="167">
        <f t="shared" si="15"/>
        <v>0</v>
      </c>
      <c r="K170" s="223"/>
      <c r="L170" s="224"/>
    </row>
    <row r="171" spans="1:12" ht="18.75">
      <c r="A171" s="125"/>
      <c r="B171" s="125"/>
      <c r="C171" s="127"/>
      <c r="D171" s="125" t="s">
        <v>62</v>
      </c>
      <c r="E171" s="124" t="s">
        <v>63</v>
      </c>
      <c r="F171" s="115">
        <v>200</v>
      </c>
      <c r="G171" s="115"/>
      <c r="H171" s="115">
        <f>SUM(F171:G171)</f>
        <v>200</v>
      </c>
      <c r="I171" s="115">
        <v>0</v>
      </c>
      <c r="J171" s="167">
        <f t="shared" si="15"/>
        <v>0</v>
      </c>
      <c r="K171" s="223"/>
      <c r="L171" s="224"/>
    </row>
    <row r="172" spans="1:12" ht="45" customHeight="1">
      <c r="A172" s="125"/>
      <c r="B172" s="125"/>
      <c r="C172" s="126" t="s">
        <v>914</v>
      </c>
      <c r="D172" s="119"/>
      <c r="E172" s="120" t="s">
        <v>775</v>
      </c>
      <c r="F172" s="168"/>
      <c r="G172" s="170"/>
      <c r="H172" s="171">
        <f>H173</f>
        <v>0.055740000000000005</v>
      </c>
      <c r="I172" s="172">
        <f>I173</f>
        <v>0</v>
      </c>
      <c r="J172" s="169">
        <f t="shared" si="15"/>
        <v>0</v>
      </c>
      <c r="K172" s="223"/>
      <c r="L172" s="224"/>
    </row>
    <row r="173" spans="1:12" ht="18.75">
      <c r="A173" s="125"/>
      <c r="B173" s="125"/>
      <c r="C173" s="126"/>
      <c r="D173" s="126" t="s">
        <v>62</v>
      </c>
      <c r="E173" s="120" t="s">
        <v>63</v>
      </c>
      <c r="F173" s="168"/>
      <c r="G173" s="173"/>
      <c r="H173" s="171">
        <f>0.00003+0.05571</f>
        <v>0.055740000000000005</v>
      </c>
      <c r="I173" s="172">
        <v>0</v>
      </c>
      <c r="J173" s="169">
        <f t="shared" si="15"/>
        <v>0</v>
      </c>
      <c r="K173" s="223"/>
      <c r="L173" s="224"/>
    </row>
    <row r="174" spans="1:12" ht="18.75">
      <c r="A174" s="125"/>
      <c r="B174" s="117" t="s">
        <v>343</v>
      </c>
      <c r="C174" s="117"/>
      <c r="D174" s="117"/>
      <c r="E174" s="118" t="s">
        <v>344</v>
      </c>
      <c r="F174" s="130" t="e">
        <f>F175+F191+F205</f>
        <v>#REF!</v>
      </c>
      <c r="G174" s="130" t="e">
        <f>G175+G191+G205</f>
        <v>#REF!</v>
      </c>
      <c r="H174" s="130">
        <f>H175+H191+H205</f>
        <v>22842.2</v>
      </c>
      <c r="I174" s="130">
        <f>I175+I191+I205</f>
        <v>22441.199999999997</v>
      </c>
      <c r="J174" s="166">
        <f t="shared" si="15"/>
        <v>0.9824447732705255</v>
      </c>
      <c r="K174" s="223"/>
      <c r="L174" s="224"/>
    </row>
    <row r="175" spans="1:12" ht="18.75">
      <c r="A175" s="125"/>
      <c r="B175" s="116" t="s">
        <v>345</v>
      </c>
      <c r="C175" s="117"/>
      <c r="D175" s="117"/>
      <c r="E175" s="118" t="s">
        <v>346</v>
      </c>
      <c r="F175" s="130">
        <f>F176</f>
        <v>9836.2</v>
      </c>
      <c r="G175" s="130">
        <f>G176</f>
        <v>0</v>
      </c>
      <c r="H175" s="130">
        <f>H176</f>
        <v>11617.499999999998</v>
      </c>
      <c r="I175" s="130">
        <f>I176</f>
        <v>11561</v>
      </c>
      <c r="J175" s="166">
        <f t="shared" si="15"/>
        <v>0.995136647299333</v>
      </c>
      <c r="K175" s="223"/>
      <c r="L175" s="224"/>
    </row>
    <row r="176" spans="1:12" ht="42.75" customHeight="1">
      <c r="A176" s="132"/>
      <c r="B176" s="132"/>
      <c r="C176" s="132" t="s">
        <v>102</v>
      </c>
      <c r="D176" s="132" t="s">
        <v>766</v>
      </c>
      <c r="E176" s="122" t="s">
        <v>770</v>
      </c>
      <c r="F176" s="130">
        <f>F181+F185</f>
        <v>9836.2</v>
      </c>
      <c r="G176" s="130">
        <f>G181+G185</f>
        <v>0</v>
      </c>
      <c r="H176" s="130">
        <f>H181+H185+H177</f>
        <v>11617.499999999998</v>
      </c>
      <c r="I176" s="130">
        <f>I181+I185+I177</f>
        <v>11561</v>
      </c>
      <c r="J176" s="166">
        <f t="shared" si="15"/>
        <v>0.995136647299333</v>
      </c>
      <c r="K176" s="223"/>
      <c r="L176" s="224"/>
    </row>
    <row r="177" spans="1:12" ht="44.25" customHeight="1">
      <c r="A177" s="132"/>
      <c r="B177" s="132"/>
      <c r="C177" s="132" t="s">
        <v>103</v>
      </c>
      <c r="D177" s="132" t="s">
        <v>766</v>
      </c>
      <c r="E177" s="122" t="s">
        <v>353</v>
      </c>
      <c r="F177" s="130"/>
      <c r="G177" s="130"/>
      <c r="H177" s="130">
        <f aca="true" t="shared" si="20" ref="H177:I179">H178</f>
        <v>171.4</v>
      </c>
      <c r="I177" s="130">
        <f t="shared" si="20"/>
        <v>171.4</v>
      </c>
      <c r="J177" s="166">
        <f t="shared" si="15"/>
        <v>1</v>
      </c>
      <c r="K177" s="223"/>
      <c r="L177" s="224"/>
    </row>
    <row r="178" spans="1:12" ht="20.25" customHeight="1">
      <c r="A178" s="132"/>
      <c r="B178" s="132"/>
      <c r="C178" s="132" t="s">
        <v>431</v>
      </c>
      <c r="D178" s="132"/>
      <c r="E178" s="122" t="s">
        <v>915</v>
      </c>
      <c r="F178" s="130"/>
      <c r="G178" s="130"/>
      <c r="H178" s="130">
        <f t="shared" si="20"/>
        <v>171.4</v>
      </c>
      <c r="I178" s="130">
        <f t="shared" si="20"/>
        <v>171.4</v>
      </c>
      <c r="J178" s="166">
        <f t="shared" si="15"/>
        <v>1</v>
      </c>
      <c r="K178" s="223"/>
      <c r="L178" s="224"/>
    </row>
    <row r="179" spans="1:12" ht="20.25" customHeight="1">
      <c r="A179" s="132"/>
      <c r="B179" s="132"/>
      <c r="C179" s="125" t="s">
        <v>430</v>
      </c>
      <c r="D179" s="125" t="s">
        <v>766</v>
      </c>
      <c r="E179" s="123" t="s">
        <v>429</v>
      </c>
      <c r="F179" s="130"/>
      <c r="G179" s="130"/>
      <c r="H179" s="115">
        <f t="shared" si="20"/>
        <v>171.4</v>
      </c>
      <c r="I179" s="115">
        <f t="shared" si="20"/>
        <v>171.4</v>
      </c>
      <c r="J179" s="167">
        <f t="shared" si="15"/>
        <v>1</v>
      </c>
      <c r="K179" s="223"/>
      <c r="L179" s="224"/>
    </row>
    <row r="180" spans="1:12" ht="20.25" customHeight="1">
      <c r="A180" s="132"/>
      <c r="B180" s="132"/>
      <c r="C180" s="132"/>
      <c r="D180" s="125" t="s">
        <v>27</v>
      </c>
      <c r="E180" s="124" t="s">
        <v>28</v>
      </c>
      <c r="F180" s="130"/>
      <c r="G180" s="130"/>
      <c r="H180" s="115">
        <v>171.4</v>
      </c>
      <c r="I180" s="115">
        <v>171.4</v>
      </c>
      <c r="J180" s="167">
        <f t="shared" si="15"/>
        <v>1</v>
      </c>
      <c r="K180" s="223"/>
      <c r="L180" s="224"/>
    </row>
    <row r="181" spans="1:12" ht="18.75">
      <c r="A181" s="132"/>
      <c r="B181" s="132"/>
      <c r="C181" s="132" t="s">
        <v>116</v>
      </c>
      <c r="D181" s="132" t="s">
        <v>766</v>
      </c>
      <c r="E181" s="122" t="s">
        <v>117</v>
      </c>
      <c r="F181" s="130">
        <f>F182</f>
        <v>938.8</v>
      </c>
      <c r="G181" s="130">
        <f aca="true" t="shared" si="21" ref="G181:I183">G182</f>
        <v>0</v>
      </c>
      <c r="H181" s="130">
        <f t="shared" si="21"/>
        <v>938.8</v>
      </c>
      <c r="I181" s="130">
        <f t="shared" si="21"/>
        <v>934.2</v>
      </c>
      <c r="J181" s="166">
        <f t="shared" si="15"/>
        <v>0.9951001278227526</v>
      </c>
      <c r="K181" s="223"/>
      <c r="L181" s="224"/>
    </row>
    <row r="182" spans="1:12" ht="37.5">
      <c r="A182" s="132"/>
      <c r="B182" s="132"/>
      <c r="C182" s="132" t="s">
        <v>118</v>
      </c>
      <c r="D182" s="132"/>
      <c r="E182" s="122" t="s">
        <v>119</v>
      </c>
      <c r="F182" s="130">
        <f>F183</f>
        <v>938.8</v>
      </c>
      <c r="G182" s="130">
        <f t="shared" si="21"/>
        <v>0</v>
      </c>
      <c r="H182" s="130">
        <f t="shared" si="21"/>
        <v>938.8</v>
      </c>
      <c r="I182" s="130">
        <f t="shared" si="21"/>
        <v>934.2</v>
      </c>
      <c r="J182" s="166">
        <f t="shared" si="15"/>
        <v>0.9951001278227526</v>
      </c>
      <c r="K182" s="223"/>
      <c r="L182" s="224"/>
    </row>
    <row r="183" spans="1:12" ht="24" customHeight="1">
      <c r="A183" s="132"/>
      <c r="B183" s="132"/>
      <c r="C183" s="125" t="s">
        <v>120</v>
      </c>
      <c r="D183" s="125" t="s">
        <v>766</v>
      </c>
      <c r="E183" s="123" t="s">
        <v>121</v>
      </c>
      <c r="F183" s="115">
        <f>F184</f>
        <v>938.8</v>
      </c>
      <c r="G183" s="115">
        <f t="shared" si="21"/>
        <v>0</v>
      </c>
      <c r="H183" s="115">
        <f t="shared" si="21"/>
        <v>938.8</v>
      </c>
      <c r="I183" s="115">
        <f t="shared" si="21"/>
        <v>934.2</v>
      </c>
      <c r="J183" s="167">
        <f t="shared" si="15"/>
        <v>0.9951001278227526</v>
      </c>
      <c r="K183" s="223"/>
      <c r="L183" s="224"/>
    </row>
    <row r="184" spans="1:12" ht="21.75" customHeight="1">
      <c r="A184" s="125"/>
      <c r="B184" s="125"/>
      <c r="C184" s="125"/>
      <c r="D184" s="125" t="s">
        <v>27</v>
      </c>
      <c r="E184" s="124" t="s">
        <v>28</v>
      </c>
      <c r="F184" s="115">
        <v>938.8</v>
      </c>
      <c r="G184" s="115"/>
      <c r="H184" s="115">
        <f>SUM(F184:G184)</f>
        <v>938.8</v>
      </c>
      <c r="I184" s="115">
        <v>934.2</v>
      </c>
      <c r="J184" s="167">
        <f t="shared" si="15"/>
        <v>0.9951001278227526</v>
      </c>
      <c r="K184" s="223"/>
      <c r="L184" s="224"/>
    </row>
    <row r="185" spans="1:12" ht="37.5">
      <c r="A185" s="132"/>
      <c r="B185" s="132"/>
      <c r="C185" s="132" t="s">
        <v>141</v>
      </c>
      <c r="D185" s="132" t="s">
        <v>766</v>
      </c>
      <c r="E185" s="122" t="s">
        <v>916</v>
      </c>
      <c r="F185" s="130">
        <f aca="true" t="shared" si="22" ref="F185:I186">F186</f>
        <v>8897.400000000001</v>
      </c>
      <c r="G185" s="130">
        <f t="shared" si="22"/>
        <v>0</v>
      </c>
      <c r="H185" s="130">
        <f t="shared" si="22"/>
        <v>10507.3</v>
      </c>
      <c r="I185" s="130">
        <f t="shared" si="22"/>
        <v>10455.4</v>
      </c>
      <c r="J185" s="166">
        <f t="shared" si="15"/>
        <v>0.9950605769322282</v>
      </c>
      <c r="K185" s="223"/>
      <c r="L185" s="224"/>
    </row>
    <row r="186" spans="1:12" ht="37.5">
      <c r="A186" s="132"/>
      <c r="B186" s="132"/>
      <c r="C186" s="132" t="s">
        <v>142</v>
      </c>
      <c r="D186" s="132"/>
      <c r="E186" s="122" t="s">
        <v>42</v>
      </c>
      <c r="F186" s="130">
        <f t="shared" si="22"/>
        <v>8897.400000000001</v>
      </c>
      <c r="G186" s="130">
        <f t="shared" si="22"/>
        <v>0</v>
      </c>
      <c r="H186" s="130">
        <f t="shared" si="22"/>
        <v>10507.3</v>
      </c>
      <c r="I186" s="130">
        <f t="shared" si="22"/>
        <v>10455.4</v>
      </c>
      <c r="J186" s="166">
        <f t="shared" si="15"/>
        <v>0.9950605769322282</v>
      </c>
      <c r="K186" s="223"/>
      <c r="L186" s="224"/>
    </row>
    <row r="187" spans="1:12" ht="18.75">
      <c r="A187" s="132"/>
      <c r="B187" s="132"/>
      <c r="C187" s="125" t="s">
        <v>143</v>
      </c>
      <c r="D187" s="125" t="s">
        <v>766</v>
      </c>
      <c r="E187" s="123" t="s">
        <v>144</v>
      </c>
      <c r="F187" s="115">
        <f>SUM(F188:F190)</f>
        <v>8897.400000000001</v>
      </c>
      <c r="G187" s="115">
        <f>SUM(G188:G190)</f>
        <v>0</v>
      </c>
      <c r="H187" s="115">
        <f>SUM(H188:H190)</f>
        <v>10507.3</v>
      </c>
      <c r="I187" s="115">
        <f>SUM(I188:I190)</f>
        <v>10455.4</v>
      </c>
      <c r="J187" s="167">
        <f t="shared" si="15"/>
        <v>0.9950605769322282</v>
      </c>
      <c r="K187" s="223"/>
      <c r="L187" s="224"/>
    </row>
    <row r="188" spans="1:12" ht="37.5">
      <c r="A188" s="125"/>
      <c r="B188" s="125"/>
      <c r="C188" s="125"/>
      <c r="D188" s="125" t="s">
        <v>46</v>
      </c>
      <c r="E188" s="124" t="s">
        <v>47</v>
      </c>
      <c r="F188" s="115">
        <f>5576.3+18.2+1680.8</f>
        <v>7275.3</v>
      </c>
      <c r="G188" s="115"/>
      <c r="H188" s="115">
        <v>8103.9</v>
      </c>
      <c r="I188" s="115">
        <v>8103.9</v>
      </c>
      <c r="J188" s="167">
        <f t="shared" si="15"/>
        <v>1</v>
      </c>
      <c r="K188" s="223"/>
      <c r="L188" s="224"/>
    </row>
    <row r="189" spans="1:12" ht="18.75">
      <c r="A189" s="125"/>
      <c r="B189" s="125"/>
      <c r="C189" s="125"/>
      <c r="D189" s="125" t="s">
        <v>27</v>
      </c>
      <c r="E189" s="124" t="s">
        <v>28</v>
      </c>
      <c r="F189" s="115">
        <f>224.9+1320</f>
        <v>1544.9</v>
      </c>
      <c r="G189" s="115"/>
      <c r="H189" s="115">
        <v>2293.1</v>
      </c>
      <c r="I189" s="115">
        <v>2241.6</v>
      </c>
      <c r="J189" s="167">
        <f aca="true" t="shared" si="23" ref="J189:J252">I189/H189</f>
        <v>0.977541319611007</v>
      </c>
      <c r="K189" s="223"/>
      <c r="L189" s="224"/>
    </row>
    <row r="190" spans="1:12" ht="18.75">
      <c r="A190" s="125"/>
      <c r="B190" s="125"/>
      <c r="C190" s="125"/>
      <c r="D190" s="125" t="s">
        <v>62</v>
      </c>
      <c r="E190" s="124" t="s">
        <v>63</v>
      </c>
      <c r="F190" s="115">
        <f>73.2+4</f>
        <v>77.2</v>
      </c>
      <c r="G190" s="115"/>
      <c r="H190" s="115">
        <v>110.3</v>
      </c>
      <c r="I190" s="115">
        <v>109.9</v>
      </c>
      <c r="J190" s="167">
        <f t="shared" si="23"/>
        <v>0.9963735267452404</v>
      </c>
      <c r="K190" s="223"/>
      <c r="L190" s="224"/>
    </row>
    <row r="191" spans="1:12" ht="18.75">
      <c r="A191" s="125"/>
      <c r="B191" s="116" t="s">
        <v>347</v>
      </c>
      <c r="C191" s="117"/>
      <c r="D191" s="117"/>
      <c r="E191" s="118" t="s">
        <v>348</v>
      </c>
      <c r="F191" s="130">
        <f>F192</f>
        <v>7253.7</v>
      </c>
      <c r="G191" s="130">
        <f>G192</f>
        <v>0</v>
      </c>
      <c r="H191" s="130">
        <f>H192</f>
        <v>7130</v>
      </c>
      <c r="I191" s="130">
        <f>I192</f>
        <v>7125.3</v>
      </c>
      <c r="J191" s="166">
        <f t="shared" si="23"/>
        <v>0.9993408134642356</v>
      </c>
      <c r="K191" s="223"/>
      <c r="L191" s="224"/>
    </row>
    <row r="192" spans="1:12" ht="45.75" customHeight="1">
      <c r="A192" s="132"/>
      <c r="B192" s="132"/>
      <c r="C192" s="132" t="s">
        <v>102</v>
      </c>
      <c r="D192" s="132" t="s">
        <v>766</v>
      </c>
      <c r="E192" s="122" t="s">
        <v>770</v>
      </c>
      <c r="F192" s="130">
        <f>F193+F199</f>
        <v>7253.7</v>
      </c>
      <c r="G192" s="130">
        <f>G193+G199</f>
        <v>0</v>
      </c>
      <c r="H192" s="130">
        <f>H193+H199</f>
        <v>7130</v>
      </c>
      <c r="I192" s="130">
        <f>I193+I199</f>
        <v>7125.3</v>
      </c>
      <c r="J192" s="166">
        <f t="shared" si="23"/>
        <v>0.9993408134642356</v>
      </c>
      <c r="K192" s="223"/>
      <c r="L192" s="224"/>
    </row>
    <row r="193" spans="1:12" ht="18.75">
      <c r="A193" s="132"/>
      <c r="B193" s="132"/>
      <c r="C193" s="132" t="s">
        <v>116</v>
      </c>
      <c r="D193" s="132" t="s">
        <v>766</v>
      </c>
      <c r="E193" s="122" t="s">
        <v>117</v>
      </c>
      <c r="F193" s="130">
        <f>F194</f>
        <v>714.1</v>
      </c>
      <c r="G193" s="130">
        <f>G194</f>
        <v>0</v>
      </c>
      <c r="H193" s="130">
        <f>H194</f>
        <v>590.4</v>
      </c>
      <c r="I193" s="130">
        <f>I194</f>
        <v>588.2</v>
      </c>
      <c r="J193" s="166">
        <f t="shared" si="23"/>
        <v>0.9962737127371275</v>
      </c>
      <c r="K193" s="223"/>
      <c r="L193" s="224"/>
    </row>
    <row r="194" spans="1:12" ht="18.75">
      <c r="A194" s="132"/>
      <c r="B194" s="132"/>
      <c r="C194" s="132" t="s">
        <v>122</v>
      </c>
      <c r="D194" s="132"/>
      <c r="E194" s="122" t="s">
        <v>917</v>
      </c>
      <c r="F194" s="130">
        <f>F195+F197</f>
        <v>714.1</v>
      </c>
      <c r="G194" s="130">
        <f>G195+G197</f>
        <v>0</v>
      </c>
      <c r="H194" s="130">
        <f>H195+H197</f>
        <v>590.4</v>
      </c>
      <c r="I194" s="130">
        <f>I195+I197</f>
        <v>588.2</v>
      </c>
      <c r="J194" s="166">
        <f t="shared" si="23"/>
        <v>0.9962737127371275</v>
      </c>
      <c r="K194" s="223"/>
      <c r="L194" s="224"/>
    </row>
    <row r="195" spans="1:12" ht="18.75">
      <c r="A195" s="132"/>
      <c r="B195" s="132"/>
      <c r="C195" s="125" t="s">
        <v>123</v>
      </c>
      <c r="D195" s="125" t="s">
        <v>766</v>
      </c>
      <c r="E195" s="123" t="s">
        <v>124</v>
      </c>
      <c r="F195" s="115">
        <f>F196</f>
        <v>135</v>
      </c>
      <c r="G195" s="115">
        <f>G196</f>
        <v>0</v>
      </c>
      <c r="H195" s="115">
        <f>H196</f>
        <v>135</v>
      </c>
      <c r="I195" s="115">
        <f>I196</f>
        <v>132.9</v>
      </c>
      <c r="J195" s="167">
        <f t="shared" si="23"/>
        <v>0.9844444444444445</v>
      </c>
      <c r="K195" s="223"/>
      <c r="L195" s="224"/>
    </row>
    <row r="196" spans="1:12" ht="18.75">
      <c r="A196" s="125"/>
      <c r="B196" s="125"/>
      <c r="C196" s="125"/>
      <c r="D196" s="125" t="s">
        <v>27</v>
      </c>
      <c r="E196" s="124" t="s">
        <v>28</v>
      </c>
      <c r="F196" s="115">
        <v>135</v>
      </c>
      <c r="G196" s="115"/>
      <c r="H196" s="115">
        <f>SUM(F196:G196)</f>
        <v>135</v>
      </c>
      <c r="I196" s="115">
        <v>132.9</v>
      </c>
      <c r="J196" s="167">
        <f t="shared" si="23"/>
        <v>0.9844444444444445</v>
      </c>
      <c r="K196" s="223"/>
      <c r="L196" s="224"/>
    </row>
    <row r="197" spans="1:12" ht="18.75">
      <c r="A197" s="132"/>
      <c r="B197" s="132"/>
      <c r="C197" s="125" t="s">
        <v>127</v>
      </c>
      <c r="D197" s="125" t="s">
        <v>766</v>
      </c>
      <c r="E197" s="123" t="s">
        <v>128</v>
      </c>
      <c r="F197" s="115">
        <f>F198</f>
        <v>579.1</v>
      </c>
      <c r="G197" s="115">
        <f>G198</f>
        <v>0</v>
      </c>
      <c r="H197" s="115">
        <f>H198</f>
        <v>455.4</v>
      </c>
      <c r="I197" s="115">
        <f>I198</f>
        <v>455.3</v>
      </c>
      <c r="J197" s="167">
        <f t="shared" si="23"/>
        <v>0.9997804128238912</v>
      </c>
      <c r="K197" s="223"/>
      <c r="L197" s="224"/>
    </row>
    <row r="198" spans="1:12" ht="18.75">
      <c r="A198" s="125"/>
      <c r="B198" s="125"/>
      <c r="C198" s="125"/>
      <c r="D198" s="125" t="s">
        <v>21</v>
      </c>
      <c r="E198" s="124" t="s">
        <v>22</v>
      </c>
      <c r="F198" s="115">
        <v>579.1</v>
      </c>
      <c r="G198" s="115"/>
      <c r="H198" s="115">
        <v>455.4</v>
      </c>
      <c r="I198" s="115">
        <v>455.3</v>
      </c>
      <c r="J198" s="167">
        <f t="shared" si="23"/>
        <v>0.9997804128238912</v>
      </c>
      <c r="K198" s="223"/>
      <c r="L198" s="224"/>
    </row>
    <row r="199" spans="1:12" ht="37.5">
      <c r="A199" s="132"/>
      <c r="B199" s="132"/>
      <c r="C199" s="132" t="s">
        <v>141</v>
      </c>
      <c r="D199" s="132" t="s">
        <v>766</v>
      </c>
      <c r="E199" s="122" t="s">
        <v>916</v>
      </c>
      <c r="F199" s="130">
        <f aca="true" t="shared" si="24" ref="F199:I200">F200</f>
        <v>6539.599999999999</v>
      </c>
      <c r="G199" s="130">
        <f t="shared" si="24"/>
        <v>0</v>
      </c>
      <c r="H199" s="130">
        <f t="shared" si="24"/>
        <v>6539.6</v>
      </c>
      <c r="I199" s="130">
        <f t="shared" si="24"/>
        <v>6537.1</v>
      </c>
      <c r="J199" s="166">
        <f t="shared" si="23"/>
        <v>0.9996177136216282</v>
      </c>
      <c r="K199" s="223"/>
      <c r="L199" s="224"/>
    </row>
    <row r="200" spans="1:12" ht="37.5">
      <c r="A200" s="132"/>
      <c r="B200" s="132"/>
      <c r="C200" s="132" t="s">
        <v>142</v>
      </c>
      <c r="D200" s="132"/>
      <c r="E200" s="122" t="s">
        <v>42</v>
      </c>
      <c r="F200" s="130">
        <f t="shared" si="24"/>
        <v>6539.599999999999</v>
      </c>
      <c r="G200" s="130">
        <f t="shared" si="24"/>
        <v>0</v>
      </c>
      <c r="H200" s="130">
        <f t="shared" si="24"/>
        <v>6539.6</v>
      </c>
      <c r="I200" s="130">
        <f t="shared" si="24"/>
        <v>6537.1</v>
      </c>
      <c r="J200" s="166">
        <f t="shared" si="23"/>
        <v>0.9996177136216282</v>
      </c>
      <c r="K200" s="223"/>
      <c r="L200" s="224"/>
    </row>
    <row r="201" spans="1:12" ht="18.75">
      <c r="A201" s="125"/>
      <c r="B201" s="125"/>
      <c r="C201" s="125" t="s">
        <v>143</v>
      </c>
      <c r="D201" s="125" t="s">
        <v>766</v>
      </c>
      <c r="E201" s="123" t="s">
        <v>144</v>
      </c>
      <c r="F201" s="115">
        <f>SUM(F202:F204)</f>
        <v>6539.599999999999</v>
      </c>
      <c r="G201" s="115">
        <f>SUM(G202:G204)</f>
        <v>0</v>
      </c>
      <c r="H201" s="115">
        <f>SUM(H202:H204)</f>
        <v>6539.6</v>
      </c>
      <c r="I201" s="115">
        <f>SUM(I202:I204)</f>
        <v>6537.1</v>
      </c>
      <c r="J201" s="167">
        <f t="shared" si="23"/>
        <v>0.9996177136216282</v>
      </c>
      <c r="K201" s="223"/>
      <c r="L201" s="224"/>
    </row>
    <row r="202" spans="1:12" ht="37.5">
      <c r="A202" s="125"/>
      <c r="B202" s="125"/>
      <c r="C202" s="125"/>
      <c r="D202" s="125" t="s">
        <v>46</v>
      </c>
      <c r="E202" s="124" t="s">
        <v>47</v>
      </c>
      <c r="F202" s="115">
        <f>4520.5+11.8+1365.2</f>
        <v>5897.5</v>
      </c>
      <c r="G202" s="115"/>
      <c r="H202" s="115">
        <v>5947.2</v>
      </c>
      <c r="I202" s="115">
        <v>5946.8</v>
      </c>
      <c r="J202" s="167">
        <f t="shared" si="23"/>
        <v>0.9999327414581652</v>
      </c>
      <c r="K202" s="223"/>
      <c r="L202" s="224"/>
    </row>
    <row r="203" spans="1:12" ht="18.75">
      <c r="A203" s="125"/>
      <c r="B203" s="125"/>
      <c r="C203" s="125"/>
      <c r="D203" s="125" t="s">
        <v>27</v>
      </c>
      <c r="E203" s="124" t="s">
        <v>28</v>
      </c>
      <c r="F203" s="115">
        <f>13.1+619.8</f>
        <v>632.9</v>
      </c>
      <c r="G203" s="115"/>
      <c r="H203" s="115">
        <v>584.8</v>
      </c>
      <c r="I203" s="115">
        <v>582.7</v>
      </c>
      <c r="J203" s="167">
        <f t="shared" si="23"/>
        <v>0.9964090287277704</v>
      </c>
      <c r="K203" s="223"/>
      <c r="L203" s="224"/>
    </row>
    <row r="204" spans="1:12" ht="18.75">
      <c r="A204" s="125"/>
      <c r="B204" s="125"/>
      <c r="C204" s="125"/>
      <c r="D204" s="125" t="s">
        <v>62</v>
      </c>
      <c r="E204" s="124" t="s">
        <v>63</v>
      </c>
      <c r="F204" s="115">
        <f>4.6+4.6</f>
        <v>9.2</v>
      </c>
      <c r="G204" s="115"/>
      <c r="H204" s="115">
        <v>7.6</v>
      </c>
      <c r="I204" s="115">
        <v>7.6</v>
      </c>
      <c r="J204" s="167">
        <f t="shared" si="23"/>
        <v>1</v>
      </c>
      <c r="K204" s="223"/>
      <c r="L204" s="224"/>
    </row>
    <row r="205" spans="1:12" ht="18.75">
      <c r="A205" s="125"/>
      <c r="B205" s="117" t="s">
        <v>349</v>
      </c>
      <c r="C205" s="117"/>
      <c r="D205" s="117"/>
      <c r="E205" s="118" t="s">
        <v>350</v>
      </c>
      <c r="F205" s="130" t="e">
        <f>F206</f>
        <v>#REF!</v>
      </c>
      <c r="G205" s="130" t="e">
        <f aca="true" t="shared" si="25" ref="G205:I207">G206</f>
        <v>#REF!</v>
      </c>
      <c r="H205" s="130">
        <f t="shared" si="25"/>
        <v>4094.7</v>
      </c>
      <c r="I205" s="130">
        <f t="shared" si="25"/>
        <v>3754.8999999999996</v>
      </c>
      <c r="J205" s="166">
        <f t="shared" si="23"/>
        <v>0.9170146775099518</v>
      </c>
      <c r="K205" s="223"/>
      <c r="L205" s="224"/>
    </row>
    <row r="206" spans="1:12" ht="38.25" customHeight="1">
      <c r="A206" s="132"/>
      <c r="B206" s="132"/>
      <c r="C206" s="132" t="s">
        <v>102</v>
      </c>
      <c r="D206" s="132" t="s">
        <v>766</v>
      </c>
      <c r="E206" s="122" t="s">
        <v>770</v>
      </c>
      <c r="F206" s="130" t="e">
        <f>F207</f>
        <v>#REF!</v>
      </c>
      <c r="G206" s="130" t="e">
        <f t="shared" si="25"/>
        <v>#REF!</v>
      </c>
      <c r="H206" s="130">
        <f t="shared" si="25"/>
        <v>4094.7</v>
      </c>
      <c r="I206" s="130">
        <f t="shared" si="25"/>
        <v>3754.8999999999996</v>
      </c>
      <c r="J206" s="166">
        <f t="shared" si="23"/>
        <v>0.9170146775099518</v>
      </c>
      <c r="K206" s="223"/>
      <c r="L206" s="224"/>
    </row>
    <row r="207" spans="1:12" ht="18.75">
      <c r="A207" s="132"/>
      <c r="B207" s="132"/>
      <c r="C207" s="132" t="s">
        <v>103</v>
      </c>
      <c r="D207" s="132" t="s">
        <v>766</v>
      </c>
      <c r="E207" s="122" t="s">
        <v>353</v>
      </c>
      <c r="F207" s="130" t="e">
        <f>F208</f>
        <v>#REF!</v>
      </c>
      <c r="G207" s="130" t="e">
        <f t="shared" si="25"/>
        <v>#REF!</v>
      </c>
      <c r="H207" s="130">
        <f t="shared" si="25"/>
        <v>4094.7</v>
      </c>
      <c r="I207" s="130">
        <f t="shared" si="25"/>
        <v>3754.8999999999996</v>
      </c>
      <c r="J207" s="166">
        <f t="shared" si="23"/>
        <v>0.9170146775099518</v>
      </c>
      <c r="K207" s="223"/>
      <c r="L207" s="224"/>
    </row>
    <row r="208" spans="1:12" ht="18.75">
      <c r="A208" s="132"/>
      <c r="B208" s="132"/>
      <c r="C208" s="132" t="s">
        <v>104</v>
      </c>
      <c r="D208" s="132"/>
      <c r="E208" s="122" t="s">
        <v>105</v>
      </c>
      <c r="F208" s="130" t="e">
        <f>F209+F211+F215</f>
        <v>#REF!</v>
      </c>
      <c r="G208" s="130" t="e">
        <f>G209+G211+G215</f>
        <v>#REF!</v>
      </c>
      <c r="H208" s="130">
        <f>H209+H211+H215+H213</f>
        <v>4094.7</v>
      </c>
      <c r="I208" s="130">
        <f>I209+I211+I215+I213</f>
        <v>3754.8999999999996</v>
      </c>
      <c r="J208" s="166">
        <f t="shared" si="23"/>
        <v>0.9170146775099518</v>
      </c>
      <c r="K208" s="223"/>
      <c r="L208" s="224"/>
    </row>
    <row r="209" spans="1:12" ht="18.75">
      <c r="A209" s="132"/>
      <c r="B209" s="132"/>
      <c r="C209" s="125" t="s">
        <v>106</v>
      </c>
      <c r="D209" s="125" t="s">
        <v>766</v>
      </c>
      <c r="E209" s="123" t="s">
        <v>776</v>
      </c>
      <c r="F209" s="115" t="e">
        <f>F210+#REF!</f>
        <v>#REF!</v>
      </c>
      <c r="G209" s="115" t="e">
        <f>G210+#REF!</f>
        <v>#REF!</v>
      </c>
      <c r="H209" s="115">
        <f>H210</f>
        <v>3283.5</v>
      </c>
      <c r="I209" s="115">
        <f>I210</f>
        <v>3283.5</v>
      </c>
      <c r="J209" s="167">
        <f t="shared" si="23"/>
        <v>1</v>
      </c>
      <c r="K209" s="223"/>
      <c r="L209" s="224"/>
    </row>
    <row r="210" spans="1:12" ht="18.75">
      <c r="A210" s="125"/>
      <c r="B210" s="125"/>
      <c r="C210" s="125"/>
      <c r="D210" s="125" t="s">
        <v>27</v>
      </c>
      <c r="E210" s="124" t="s">
        <v>28</v>
      </c>
      <c r="F210" s="115">
        <v>300</v>
      </c>
      <c r="G210" s="115">
        <v>3300</v>
      </c>
      <c r="H210" s="115">
        <v>3283.5</v>
      </c>
      <c r="I210" s="115">
        <v>3283.5</v>
      </c>
      <c r="J210" s="167">
        <f t="shared" si="23"/>
        <v>1</v>
      </c>
      <c r="K210" s="223"/>
      <c r="L210" s="224"/>
    </row>
    <row r="211" spans="1:12" ht="42.75" customHeight="1">
      <c r="A211" s="125"/>
      <c r="B211" s="125"/>
      <c r="C211" s="126" t="s">
        <v>918</v>
      </c>
      <c r="D211" s="126"/>
      <c r="E211" s="121" t="s">
        <v>108</v>
      </c>
      <c r="F211" s="168">
        <f>F212</f>
        <v>11.2</v>
      </c>
      <c r="G211" s="168">
        <f>G212</f>
        <v>0</v>
      </c>
      <c r="H211" s="131">
        <f>H212</f>
        <v>11.2</v>
      </c>
      <c r="I211" s="131">
        <f>I212</f>
        <v>11.2</v>
      </c>
      <c r="J211" s="169">
        <f t="shared" si="23"/>
        <v>1</v>
      </c>
      <c r="K211" s="223"/>
      <c r="L211" s="224"/>
    </row>
    <row r="212" spans="1:12" ht="18.75">
      <c r="A212" s="125"/>
      <c r="B212" s="125"/>
      <c r="C212" s="126"/>
      <c r="D212" s="119" t="s">
        <v>27</v>
      </c>
      <c r="E212" s="120" t="s">
        <v>28</v>
      </c>
      <c r="F212" s="168">
        <v>11.2</v>
      </c>
      <c r="G212" s="115"/>
      <c r="H212" s="131">
        <v>11.2</v>
      </c>
      <c r="I212" s="131">
        <v>11.2</v>
      </c>
      <c r="J212" s="169">
        <f t="shared" si="23"/>
        <v>1</v>
      </c>
      <c r="K212" s="223"/>
      <c r="L212" s="224"/>
    </row>
    <row r="213" spans="1:12" ht="37.5">
      <c r="A213" s="125"/>
      <c r="B213" s="125"/>
      <c r="C213" s="125" t="s">
        <v>919</v>
      </c>
      <c r="D213" s="125"/>
      <c r="E213" s="124" t="s">
        <v>1086</v>
      </c>
      <c r="F213" s="115">
        <f>F214</f>
        <v>606.5</v>
      </c>
      <c r="G213" s="115">
        <f>G214</f>
        <v>0</v>
      </c>
      <c r="H213" s="115">
        <f>H214</f>
        <v>300</v>
      </c>
      <c r="I213" s="115">
        <f>I214</f>
        <v>300</v>
      </c>
      <c r="J213" s="167">
        <f t="shared" si="23"/>
        <v>1</v>
      </c>
      <c r="K213" s="223"/>
      <c r="L213" s="224"/>
    </row>
    <row r="214" spans="1:12" ht="18.75">
      <c r="A214" s="125"/>
      <c r="B214" s="125"/>
      <c r="C214" s="125"/>
      <c r="D214" s="125" t="s">
        <v>27</v>
      </c>
      <c r="E214" s="124" t="s">
        <v>28</v>
      </c>
      <c r="F214" s="115">
        <v>606.5</v>
      </c>
      <c r="G214" s="115"/>
      <c r="H214" s="115">
        <v>300</v>
      </c>
      <c r="I214" s="115">
        <v>300</v>
      </c>
      <c r="J214" s="167">
        <f t="shared" si="23"/>
        <v>1</v>
      </c>
      <c r="K214" s="223"/>
      <c r="L214" s="224"/>
    </row>
    <row r="215" spans="1:12" ht="37.5">
      <c r="A215" s="125"/>
      <c r="B215" s="125"/>
      <c r="C215" s="119" t="s">
        <v>919</v>
      </c>
      <c r="D215" s="119"/>
      <c r="E215" s="120" t="s">
        <v>1087</v>
      </c>
      <c r="F215" s="131">
        <f>F216</f>
        <v>606.5</v>
      </c>
      <c r="G215" s="131">
        <f>G216</f>
        <v>0</v>
      </c>
      <c r="H215" s="131">
        <f>H216</f>
        <v>500</v>
      </c>
      <c r="I215" s="131">
        <f>I216</f>
        <v>160.2</v>
      </c>
      <c r="J215" s="169">
        <f t="shared" si="23"/>
        <v>0.32039999999999996</v>
      </c>
      <c r="K215" s="223"/>
      <c r="L215" s="224"/>
    </row>
    <row r="216" spans="1:12" ht="18.75">
      <c r="A216" s="125"/>
      <c r="B216" s="125"/>
      <c r="C216" s="119"/>
      <c r="D216" s="119" t="s">
        <v>27</v>
      </c>
      <c r="E216" s="120" t="s">
        <v>28</v>
      </c>
      <c r="F216" s="168">
        <v>606.5</v>
      </c>
      <c r="G216" s="115"/>
      <c r="H216" s="131">
        <v>500</v>
      </c>
      <c r="I216" s="131">
        <v>160.2</v>
      </c>
      <c r="J216" s="169">
        <f t="shared" si="23"/>
        <v>0.32039999999999996</v>
      </c>
      <c r="K216" s="223"/>
      <c r="L216" s="224"/>
    </row>
    <row r="217" spans="1:12" ht="18.75">
      <c r="A217" s="127"/>
      <c r="B217" s="117" t="s">
        <v>351</v>
      </c>
      <c r="C217" s="117"/>
      <c r="D217" s="117"/>
      <c r="E217" s="118" t="s">
        <v>352</v>
      </c>
      <c r="F217" s="130" t="e">
        <f>F218+F224+F235+F248</f>
        <v>#REF!</v>
      </c>
      <c r="G217" s="130" t="e">
        <f>G218+G224+G235+G248</f>
        <v>#REF!</v>
      </c>
      <c r="H217" s="130">
        <f>H218+H224+H235+H248</f>
        <v>276965.29999999993</v>
      </c>
      <c r="I217" s="130">
        <f>I218+I224+I235+I248</f>
        <v>274370.80000000005</v>
      </c>
      <c r="J217" s="166">
        <f t="shared" si="23"/>
        <v>0.9906324005209322</v>
      </c>
      <c r="K217" s="223"/>
      <c r="L217" s="224"/>
    </row>
    <row r="218" spans="1:12" ht="18.75">
      <c r="A218" s="127"/>
      <c r="B218" s="117" t="s">
        <v>777</v>
      </c>
      <c r="C218" s="117"/>
      <c r="D218" s="117"/>
      <c r="E218" s="118" t="s">
        <v>778</v>
      </c>
      <c r="F218" s="130">
        <f>F219</f>
        <v>47.2</v>
      </c>
      <c r="G218" s="130">
        <f aca="true" t="shared" si="26" ref="G218:I222">G219</f>
        <v>0</v>
      </c>
      <c r="H218" s="130">
        <f t="shared" si="26"/>
        <v>45</v>
      </c>
      <c r="I218" s="130">
        <f t="shared" si="26"/>
        <v>45</v>
      </c>
      <c r="J218" s="166">
        <f t="shared" si="23"/>
        <v>1</v>
      </c>
      <c r="K218" s="223"/>
      <c r="L218" s="224"/>
    </row>
    <row r="219" spans="1:12" ht="45.75" customHeight="1">
      <c r="A219" s="127"/>
      <c r="B219" s="117"/>
      <c r="C219" s="132" t="s">
        <v>102</v>
      </c>
      <c r="D219" s="132" t="s">
        <v>766</v>
      </c>
      <c r="E219" s="122" t="s">
        <v>770</v>
      </c>
      <c r="F219" s="130">
        <f>F220</f>
        <v>47.2</v>
      </c>
      <c r="G219" s="130">
        <f t="shared" si="26"/>
        <v>0</v>
      </c>
      <c r="H219" s="130">
        <f t="shared" si="26"/>
        <v>45</v>
      </c>
      <c r="I219" s="130">
        <f t="shared" si="26"/>
        <v>45</v>
      </c>
      <c r="J219" s="166">
        <f t="shared" si="23"/>
        <v>1</v>
      </c>
      <c r="K219" s="223"/>
      <c r="L219" s="224"/>
    </row>
    <row r="220" spans="1:12" ht="18.75">
      <c r="A220" s="127"/>
      <c r="B220" s="117"/>
      <c r="C220" s="132" t="s">
        <v>129</v>
      </c>
      <c r="D220" s="132" t="s">
        <v>766</v>
      </c>
      <c r="E220" s="122" t="s">
        <v>130</v>
      </c>
      <c r="F220" s="130">
        <f>F221</f>
        <v>47.2</v>
      </c>
      <c r="G220" s="130">
        <f t="shared" si="26"/>
        <v>0</v>
      </c>
      <c r="H220" s="130">
        <f t="shared" si="26"/>
        <v>45</v>
      </c>
      <c r="I220" s="130">
        <f t="shared" si="26"/>
        <v>45</v>
      </c>
      <c r="J220" s="166">
        <f t="shared" si="23"/>
        <v>1</v>
      </c>
      <c r="K220" s="223"/>
      <c r="L220" s="224"/>
    </row>
    <row r="221" spans="1:12" ht="18.75">
      <c r="A221" s="127"/>
      <c r="B221" s="117"/>
      <c r="C221" s="132" t="s">
        <v>131</v>
      </c>
      <c r="D221" s="132"/>
      <c r="E221" s="122" t="s">
        <v>132</v>
      </c>
      <c r="F221" s="130">
        <f>F222</f>
        <v>47.2</v>
      </c>
      <c r="G221" s="130">
        <f t="shared" si="26"/>
        <v>0</v>
      </c>
      <c r="H221" s="130">
        <f t="shared" si="26"/>
        <v>45</v>
      </c>
      <c r="I221" s="130">
        <f t="shared" si="26"/>
        <v>45</v>
      </c>
      <c r="J221" s="166">
        <f t="shared" si="23"/>
        <v>1</v>
      </c>
      <c r="K221" s="223"/>
      <c r="L221" s="224"/>
    </row>
    <row r="222" spans="1:12" ht="18.75">
      <c r="A222" s="127"/>
      <c r="B222" s="117"/>
      <c r="C222" s="125" t="s">
        <v>779</v>
      </c>
      <c r="D222" s="125" t="s">
        <v>766</v>
      </c>
      <c r="E222" s="123" t="s">
        <v>780</v>
      </c>
      <c r="F222" s="115">
        <f>F223</f>
        <v>47.2</v>
      </c>
      <c r="G222" s="115">
        <f t="shared" si="26"/>
        <v>0</v>
      </c>
      <c r="H222" s="115">
        <f t="shared" si="26"/>
        <v>45</v>
      </c>
      <c r="I222" s="115">
        <f t="shared" si="26"/>
        <v>45</v>
      </c>
      <c r="J222" s="167">
        <f t="shared" si="23"/>
        <v>1</v>
      </c>
      <c r="K222" s="223"/>
      <c r="L222" s="224"/>
    </row>
    <row r="223" spans="1:12" ht="18.75">
      <c r="A223" s="127"/>
      <c r="B223" s="117"/>
      <c r="C223" s="125"/>
      <c r="D223" s="125" t="s">
        <v>27</v>
      </c>
      <c r="E223" s="124" t="s">
        <v>28</v>
      </c>
      <c r="F223" s="115">
        <v>47.2</v>
      </c>
      <c r="G223" s="115"/>
      <c r="H223" s="115">
        <v>45</v>
      </c>
      <c r="I223" s="115">
        <v>45</v>
      </c>
      <c r="J223" s="167">
        <f t="shared" si="23"/>
        <v>1</v>
      </c>
      <c r="K223" s="223"/>
      <c r="L223" s="224"/>
    </row>
    <row r="224" spans="1:12" ht="18.75">
      <c r="A224" s="125"/>
      <c r="B224" s="116" t="s">
        <v>354</v>
      </c>
      <c r="C224" s="117"/>
      <c r="D224" s="117"/>
      <c r="E224" s="118" t="s">
        <v>355</v>
      </c>
      <c r="F224" s="130">
        <f>F225</f>
        <v>2045.3000000000002</v>
      </c>
      <c r="G224" s="130">
        <f>G225</f>
        <v>0</v>
      </c>
      <c r="H224" s="130">
        <f>H225</f>
        <v>3396.1</v>
      </c>
      <c r="I224" s="130">
        <f>I225</f>
        <v>3395</v>
      </c>
      <c r="J224" s="166">
        <f t="shared" si="23"/>
        <v>0.9996760990547982</v>
      </c>
      <c r="K224" s="223"/>
      <c r="L224" s="224"/>
    </row>
    <row r="225" spans="1:12" ht="42" customHeight="1">
      <c r="A225" s="132"/>
      <c r="B225" s="132"/>
      <c r="C225" s="132" t="s">
        <v>102</v>
      </c>
      <c r="D225" s="132" t="s">
        <v>766</v>
      </c>
      <c r="E225" s="122" t="s">
        <v>770</v>
      </c>
      <c r="F225" s="130">
        <f>F226+F230</f>
        <v>2045.3000000000002</v>
      </c>
      <c r="G225" s="130">
        <f>G226+G230</f>
        <v>0</v>
      </c>
      <c r="H225" s="130">
        <f>H226+H230</f>
        <v>3396.1</v>
      </c>
      <c r="I225" s="130">
        <f>I226+I230</f>
        <v>3395</v>
      </c>
      <c r="J225" s="166">
        <f t="shared" si="23"/>
        <v>0.9996760990547982</v>
      </c>
      <c r="K225" s="223"/>
      <c r="L225" s="224"/>
    </row>
    <row r="226" spans="1:12" ht="18.75">
      <c r="A226" s="132"/>
      <c r="B226" s="132"/>
      <c r="C226" s="132" t="s">
        <v>116</v>
      </c>
      <c r="D226" s="132" t="s">
        <v>766</v>
      </c>
      <c r="E226" s="122" t="s">
        <v>117</v>
      </c>
      <c r="F226" s="130">
        <f>F227</f>
        <v>316.4</v>
      </c>
      <c r="G226" s="130">
        <f aca="true" t="shared" si="27" ref="G226:I228">G227</f>
        <v>0</v>
      </c>
      <c r="H226" s="130">
        <f t="shared" si="27"/>
        <v>286.4</v>
      </c>
      <c r="I226" s="130">
        <f t="shared" si="27"/>
        <v>285.3</v>
      </c>
      <c r="J226" s="166">
        <f t="shared" si="23"/>
        <v>0.996159217877095</v>
      </c>
      <c r="K226" s="223"/>
      <c r="L226" s="224"/>
    </row>
    <row r="227" spans="1:12" ht="18.75">
      <c r="A227" s="132"/>
      <c r="B227" s="132"/>
      <c r="C227" s="132" t="s">
        <v>122</v>
      </c>
      <c r="D227" s="132"/>
      <c r="E227" s="122" t="s">
        <v>917</v>
      </c>
      <c r="F227" s="130">
        <f>F228</f>
        <v>316.4</v>
      </c>
      <c r="G227" s="130">
        <f t="shared" si="27"/>
        <v>0</v>
      </c>
      <c r="H227" s="130">
        <f t="shared" si="27"/>
        <v>286.4</v>
      </c>
      <c r="I227" s="130">
        <f t="shared" si="27"/>
        <v>285.3</v>
      </c>
      <c r="J227" s="166">
        <f t="shared" si="23"/>
        <v>0.996159217877095</v>
      </c>
      <c r="K227" s="223"/>
      <c r="L227" s="224"/>
    </row>
    <row r="228" spans="1:12" ht="18.75">
      <c r="A228" s="132"/>
      <c r="B228" s="132"/>
      <c r="C228" s="125" t="s">
        <v>125</v>
      </c>
      <c r="D228" s="125" t="s">
        <v>766</v>
      </c>
      <c r="E228" s="123" t="s">
        <v>126</v>
      </c>
      <c r="F228" s="115">
        <f>F229</f>
        <v>316.4</v>
      </c>
      <c r="G228" s="115">
        <f t="shared" si="27"/>
        <v>0</v>
      </c>
      <c r="H228" s="115">
        <f t="shared" si="27"/>
        <v>286.4</v>
      </c>
      <c r="I228" s="115">
        <f t="shared" si="27"/>
        <v>285.3</v>
      </c>
      <c r="J228" s="167">
        <f t="shared" si="23"/>
        <v>0.996159217877095</v>
      </c>
      <c r="K228" s="223"/>
      <c r="L228" s="224"/>
    </row>
    <row r="229" spans="1:12" ht="18.75">
      <c r="A229" s="125"/>
      <c r="B229" s="125"/>
      <c r="C229" s="125"/>
      <c r="D229" s="125" t="s">
        <v>21</v>
      </c>
      <c r="E229" s="124" t="s">
        <v>22</v>
      </c>
      <c r="F229" s="115">
        <v>316.4</v>
      </c>
      <c r="G229" s="115"/>
      <c r="H229" s="115">
        <v>286.4</v>
      </c>
      <c r="I229" s="115">
        <v>285.3</v>
      </c>
      <c r="J229" s="167">
        <f t="shared" si="23"/>
        <v>0.996159217877095</v>
      </c>
      <c r="K229" s="223"/>
      <c r="L229" s="224"/>
    </row>
    <row r="230" spans="1:12" ht="18.75">
      <c r="A230" s="132"/>
      <c r="B230" s="132"/>
      <c r="C230" s="132" t="s">
        <v>129</v>
      </c>
      <c r="D230" s="132" t="s">
        <v>766</v>
      </c>
      <c r="E230" s="122" t="s">
        <v>130</v>
      </c>
      <c r="F230" s="130">
        <f aca="true" t="shared" si="28" ref="F230:I231">F231</f>
        <v>1728.9</v>
      </c>
      <c r="G230" s="130">
        <f t="shared" si="28"/>
        <v>0</v>
      </c>
      <c r="H230" s="130">
        <f t="shared" si="28"/>
        <v>3109.7</v>
      </c>
      <c r="I230" s="130">
        <f t="shared" si="28"/>
        <v>3109.7</v>
      </c>
      <c r="J230" s="166">
        <f t="shared" si="23"/>
        <v>1</v>
      </c>
      <c r="K230" s="223"/>
      <c r="L230" s="224"/>
    </row>
    <row r="231" spans="1:12" ht="18.75">
      <c r="A231" s="132"/>
      <c r="B231" s="132"/>
      <c r="C231" s="132" t="s">
        <v>133</v>
      </c>
      <c r="D231" s="132"/>
      <c r="E231" s="122" t="s">
        <v>132</v>
      </c>
      <c r="F231" s="130">
        <f t="shared" si="28"/>
        <v>1728.9</v>
      </c>
      <c r="G231" s="130">
        <f t="shared" si="28"/>
        <v>0</v>
      </c>
      <c r="H231" s="130">
        <f t="shared" si="28"/>
        <v>3109.7</v>
      </c>
      <c r="I231" s="130">
        <f t="shared" si="28"/>
        <v>3109.7</v>
      </c>
      <c r="J231" s="166">
        <f t="shared" si="23"/>
        <v>1</v>
      </c>
      <c r="K231" s="223"/>
      <c r="L231" s="224"/>
    </row>
    <row r="232" spans="1:12" ht="18.75">
      <c r="A232" s="132"/>
      <c r="B232" s="132"/>
      <c r="C232" s="125" t="s">
        <v>133</v>
      </c>
      <c r="D232" s="125" t="s">
        <v>766</v>
      </c>
      <c r="E232" s="123" t="s">
        <v>134</v>
      </c>
      <c r="F232" s="115">
        <f>F233+F234</f>
        <v>1728.9</v>
      </c>
      <c r="G232" s="115">
        <f>G233+G234</f>
        <v>0</v>
      </c>
      <c r="H232" s="115">
        <f>H233+H234</f>
        <v>3109.7</v>
      </c>
      <c r="I232" s="115">
        <f>I233+I234</f>
        <v>3109.7</v>
      </c>
      <c r="J232" s="167">
        <f t="shared" si="23"/>
        <v>1</v>
      </c>
      <c r="K232" s="223"/>
      <c r="L232" s="224"/>
    </row>
    <row r="233" spans="1:12" ht="18.75">
      <c r="A233" s="132"/>
      <c r="B233" s="132"/>
      <c r="C233" s="125"/>
      <c r="D233" s="125" t="s">
        <v>27</v>
      </c>
      <c r="E233" s="124" t="s">
        <v>28</v>
      </c>
      <c r="F233" s="115">
        <f>720-0.9</f>
        <v>719.1</v>
      </c>
      <c r="G233" s="115"/>
      <c r="H233" s="115">
        <v>2497.5</v>
      </c>
      <c r="I233" s="115">
        <v>2497.5</v>
      </c>
      <c r="J233" s="167">
        <f t="shared" si="23"/>
        <v>1</v>
      </c>
      <c r="K233" s="223"/>
      <c r="L233" s="224"/>
    </row>
    <row r="234" spans="1:12" ht="18.75">
      <c r="A234" s="125"/>
      <c r="B234" s="125"/>
      <c r="C234" s="125"/>
      <c r="D234" s="125" t="s">
        <v>21</v>
      </c>
      <c r="E234" s="124" t="s">
        <v>22</v>
      </c>
      <c r="F234" s="115">
        <f>1008.9+0.9</f>
        <v>1009.8</v>
      </c>
      <c r="G234" s="115"/>
      <c r="H234" s="115">
        <v>612.2</v>
      </c>
      <c r="I234" s="115">
        <v>612.2</v>
      </c>
      <c r="J234" s="167">
        <f t="shared" si="23"/>
        <v>1</v>
      </c>
      <c r="K234" s="223"/>
      <c r="L234" s="224"/>
    </row>
    <row r="235" spans="1:12" ht="18.75">
      <c r="A235" s="125"/>
      <c r="B235" s="117" t="s">
        <v>356</v>
      </c>
      <c r="C235" s="117"/>
      <c r="D235" s="117"/>
      <c r="E235" s="118" t="s">
        <v>357</v>
      </c>
      <c r="F235" s="130">
        <f aca="true" t="shared" si="29" ref="F235:I236">F236</f>
        <v>171213.9</v>
      </c>
      <c r="G235" s="130">
        <f t="shared" si="29"/>
        <v>0</v>
      </c>
      <c r="H235" s="130">
        <f t="shared" si="29"/>
        <v>268924.19999999995</v>
      </c>
      <c r="I235" s="130">
        <f t="shared" si="29"/>
        <v>266332.4</v>
      </c>
      <c r="J235" s="166">
        <f t="shared" si="23"/>
        <v>0.9903623400199761</v>
      </c>
      <c r="K235" s="223"/>
      <c r="L235" s="224"/>
    </row>
    <row r="236" spans="1:12" ht="18.75">
      <c r="A236" s="132"/>
      <c r="B236" s="132"/>
      <c r="C236" s="132" t="s">
        <v>167</v>
      </c>
      <c r="D236" s="132" t="s">
        <v>766</v>
      </c>
      <c r="E236" s="122" t="s">
        <v>168</v>
      </c>
      <c r="F236" s="130">
        <f t="shared" si="29"/>
        <v>171213.9</v>
      </c>
      <c r="G236" s="130">
        <f t="shared" si="29"/>
        <v>0</v>
      </c>
      <c r="H236" s="130">
        <f t="shared" si="29"/>
        <v>268924.19999999995</v>
      </c>
      <c r="I236" s="130">
        <f t="shared" si="29"/>
        <v>266332.4</v>
      </c>
      <c r="J236" s="166">
        <f t="shared" si="23"/>
        <v>0.9903623400199761</v>
      </c>
      <c r="K236" s="223"/>
      <c r="L236" s="224"/>
    </row>
    <row r="237" spans="1:12" ht="18.75">
      <c r="A237" s="132"/>
      <c r="B237" s="132"/>
      <c r="C237" s="132" t="s">
        <v>189</v>
      </c>
      <c r="D237" s="132" t="s">
        <v>766</v>
      </c>
      <c r="E237" s="122" t="s">
        <v>190</v>
      </c>
      <c r="F237" s="130">
        <f>F238+F241</f>
        <v>171213.9</v>
      </c>
      <c r="G237" s="130">
        <f>G238+G241</f>
        <v>0</v>
      </c>
      <c r="H237" s="130">
        <f>H238+H241</f>
        <v>268924.19999999995</v>
      </c>
      <c r="I237" s="130">
        <f>I238+I241</f>
        <v>266332.4</v>
      </c>
      <c r="J237" s="166">
        <f t="shared" si="23"/>
        <v>0.9903623400199761</v>
      </c>
      <c r="K237" s="223"/>
      <c r="L237" s="224"/>
    </row>
    <row r="238" spans="1:12" ht="37.5">
      <c r="A238" s="132"/>
      <c r="B238" s="132"/>
      <c r="C238" s="132" t="s">
        <v>191</v>
      </c>
      <c r="D238" s="132"/>
      <c r="E238" s="122" t="s">
        <v>192</v>
      </c>
      <c r="F238" s="130">
        <f aca="true" t="shared" si="30" ref="F238:I239">F239</f>
        <v>128000.5</v>
      </c>
      <c r="G238" s="130">
        <f t="shared" si="30"/>
        <v>0</v>
      </c>
      <c r="H238" s="130">
        <f t="shared" si="30"/>
        <v>130663.9</v>
      </c>
      <c r="I238" s="130">
        <f t="shared" si="30"/>
        <v>130638.6</v>
      </c>
      <c r="J238" s="166">
        <f t="shared" si="23"/>
        <v>0.9998063734512747</v>
      </c>
      <c r="K238" s="223"/>
      <c r="L238" s="224"/>
    </row>
    <row r="239" spans="1:12" ht="18.75">
      <c r="A239" s="132"/>
      <c r="B239" s="132"/>
      <c r="C239" s="125" t="s">
        <v>193</v>
      </c>
      <c r="D239" s="125" t="s">
        <v>766</v>
      </c>
      <c r="E239" s="123" t="s">
        <v>781</v>
      </c>
      <c r="F239" s="115">
        <f t="shared" si="30"/>
        <v>128000.5</v>
      </c>
      <c r="G239" s="115">
        <f t="shared" si="30"/>
        <v>0</v>
      </c>
      <c r="H239" s="115">
        <f t="shared" si="30"/>
        <v>130663.9</v>
      </c>
      <c r="I239" s="115">
        <f t="shared" si="30"/>
        <v>130638.6</v>
      </c>
      <c r="J239" s="167">
        <f t="shared" si="23"/>
        <v>0.9998063734512747</v>
      </c>
      <c r="K239" s="223"/>
      <c r="L239" s="224"/>
    </row>
    <row r="240" spans="1:12" ht="18.75">
      <c r="A240" s="125"/>
      <c r="B240" s="125"/>
      <c r="C240" s="125"/>
      <c r="D240" s="125" t="s">
        <v>21</v>
      </c>
      <c r="E240" s="124" t="s">
        <v>22</v>
      </c>
      <c r="F240" s="115">
        <v>128000.5</v>
      </c>
      <c r="G240" s="115"/>
      <c r="H240" s="115">
        <v>130663.9</v>
      </c>
      <c r="I240" s="115">
        <v>130638.6</v>
      </c>
      <c r="J240" s="167">
        <f t="shared" si="23"/>
        <v>0.9998063734512747</v>
      </c>
      <c r="K240" s="223"/>
      <c r="L240" s="224"/>
    </row>
    <row r="241" spans="1:12" ht="37.5">
      <c r="A241" s="132"/>
      <c r="B241" s="132"/>
      <c r="C241" s="132" t="s">
        <v>195</v>
      </c>
      <c r="D241" s="125"/>
      <c r="E241" s="122" t="s">
        <v>782</v>
      </c>
      <c r="F241" s="130">
        <f>F242+F244</f>
        <v>43213.4</v>
      </c>
      <c r="G241" s="130">
        <f>G242+G244</f>
        <v>0</v>
      </c>
      <c r="H241" s="130">
        <f>H242+H244+H246</f>
        <v>138260.3</v>
      </c>
      <c r="I241" s="130">
        <f>I242+I244+I246</f>
        <v>135693.8</v>
      </c>
      <c r="J241" s="166">
        <f t="shared" si="23"/>
        <v>0.9814371876814965</v>
      </c>
      <c r="K241" s="223"/>
      <c r="L241" s="224"/>
    </row>
    <row r="242" spans="1:12" ht="18.75">
      <c r="A242" s="132"/>
      <c r="B242" s="132"/>
      <c r="C242" s="125" t="s">
        <v>196</v>
      </c>
      <c r="D242" s="125" t="s">
        <v>766</v>
      </c>
      <c r="E242" s="123" t="s">
        <v>783</v>
      </c>
      <c r="F242" s="115">
        <f>F243</f>
        <v>7940</v>
      </c>
      <c r="G242" s="115">
        <f>G243</f>
        <v>0</v>
      </c>
      <c r="H242" s="115">
        <f>H243</f>
        <v>15194.1</v>
      </c>
      <c r="I242" s="115">
        <f>I243</f>
        <v>12645.3</v>
      </c>
      <c r="J242" s="167">
        <f t="shared" si="23"/>
        <v>0.8322506762493336</v>
      </c>
      <c r="K242" s="223"/>
      <c r="L242" s="224"/>
    </row>
    <row r="243" spans="1:12" ht="18.75">
      <c r="A243" s="125"/>
      <c r="B243" s="125"/>
      <c r="C243" s="125"/>
      <c r="D243" s="125" t="s">
        <v>27</v>
      </c>
      <c r="E243" s="124" t="s">
        <v>28</v>
      </c>
      <c r="F243" s="115">
        <f>5940+2000</f>
        <v>7940</v>
      </c>
      <c r="G243" s="115"/>
      <c r="H243" s="115">
        <v>15194.1</v>
      </c>
      <c r="I243" s="115">
        <v>12645.3</v>
      </c>
      <c r="J243" s="167">
        <f t="shared" si="23"/>
        <v>0.8322506762493336</v>
      </c>
      <c r="K243" s="223"/>
      <c r="L243" s="224"/>
    </row>
    <row r="244" spans="1:12" ht="18.75">
      <c r="A244" s="132"/>
      <c r="B244" s="132"/>
      <c r="C244" s="160" t="s">
        <v>920</v>
      </c>
      <c r="D244" s="125"/>
      <c r="E244" s="123" t="s">
        <v>197</v>
      </c>
      <c r="F244" s="115">
        <f>F245</f>
        <v>35273.4</v>
      </c>
      <c r="G244" s="115">
        <f>G245</f>
        <v>0</v>
      </c>
      <c r="H244" s="115">
        <f>H245</f>
        <v>33693.4</v>
      </c>
      <c r="I244" s="115">
        <f>I245</f>
        <v>33675.7</v>
      </c>
      <c r="J244" s="167">
        <f t="shared" si="23"/>
        <v>0.999474674565345</v>
      </c>
      <c r="K244" s="223"/>
      <c r="L244" s="224"/>
    </row>
    <row r="245" spans="1:12" ht="18.75">
      <c r="A245" s="125"/>
      <c r="B245" s="125"/>
      <c r="C245" s="125"/>
      <c r="D245" s="125" t="s">
        <v>27</v>
      </c>
      <c r="E245" s="124" t="s">
        <v>28</v>
      </c>
      <c r="F245" s="115">
        <v>35273.4</v>
      </c>
      <c r="G245" s="115"/>
      <c r="H245" s="115">
        <v>33693.4</v>
      </c>
      <c r="I245" s="115">
        <v>33675.7</v>
      </c>
      <c r="J245" s="167">
        <f t="shared" si="23"/>
        <v>0.999474674565345</v>
      </c>
      <c r="K245" s="223"/>
      <c r="L245" s="224"/>
    </row>
    <row r="246" spans="1:12" ht="18.75">
      <c r="A246" s="125"/>
      <c r="B246" s="125"/>
      <c r="C246" s="119" t="s">
        <v>920</v>
      </c>
      <c r="D246" s="119"/>
      <c r="E246" s="133" t="s">
        <v>1088</v>
      </c>
      <c r="F246" s="131">
        <f>F247</f>
        <v>35273.4</v>
      </c>
      <c r="G246" s="131">
        <f>G247</f>
        <v>0</v>
      </c>
      <c r="H246" s="131">
        <f>H247</f>
        <v>89372.8</v>
      </c>
      <c r="I246" s="131">
        <f>I247</f>
        <v>89372.8</v>
      </c>
      <c r="J246" s="169">
        <f t="shared" si="23"/>
        <v>1</v>
      </c>
      <c r="K246" s="223"/>
      <c r="L246" s="224"/>
    </row>
    <row r="247" spans="1:12" ht="18.75">
      <c r="A247" s="125"/>
      <c r="B247" s="125"/>
      <c r="C247" s="119"/>
      <c r="D247" s="119" t="s">
        <v>27</v>
      </c>
      <c r="E247" s="120" t="s">
        <v>28</v>
      </c>
      <c r="F247" s="131">
        <v>35273.4</v>
      </c>
      <c r="G247" s="131"/>
      <c r="H247" s="131">
        <v>89372.8</v>
      </c>
      <c r="I247" s="131">
        <v>89372.8</v>
      </c>
      <c r="J247" s="169">
        <f t="shared" si="23"/>
        <v>1</v>
      </c>
      <c r="K247" s="223"/>
      <c r="L247" s="224"/>
    </row>
    <row r="248" spans="1:12" ht="18.75">
      <c r="A248" s="125"/>
      <c r="B248" s="116" t="s">
        <v>358</v>
      </c>
      <c r="C248" s="117"/>
      <c r="D248" s="117"/>
      <c r="E248" s="118" t="s">
        <v>359</v>
      </c>
      <c r="F248" s="130" t="e">
        <f>F249+F254</f>
        <v>#REF!</v>
      </c>
      <c r="G248" s="130" t="e">
        <f>G249+G254</f>
        <v>#REF!</v>
      </c>
      <c r="H248" s="130">
        <f>H249+H254</f>
        <v>4600</v>
      </c>
      <c r="I248" s="130">
        <f>I249+I254</f>
        <v>4598.4</v>
      </c>
      <c r="J248" s="166">
        <f t="shared" si="23"/>
        <v>0.9996521739130434</v>
      </c>
      <c r="K248" s="223"/>
      <c r="L248" s="224"/>
    </row>
    <row r="249" spans="1:12" ht="37.5">
      <c r="A249" s="125"/>
      <c r="B249" s="116"/>
      <c r="C249" s="132" t="s">
        <v>64</v>
      </c>
      <c r="D249" s="132" t="s">
        <v>766</v>
      </c>
      <c r="E249" s="122" t="s">
        <v>434</v>
      </c>
      <c r="F249" s="130">
        <f>F250</f>
        <v>300</v>
      </c>
      <c r="G249" s="130">
        <f aca="true" t="shared" si="31" ref="G249:I252">G250</f>
        <v>0</v>
      </c>
      <c r="H249" s="130">
        <f t="shared" si="31"/>
        <v>300</v>
      </c>
      <c r="I249" s="130">
        <f t="shared" si="31"/>
        <v>298.4</v>
      </c>
      <c r="J249" s="166">
        <f t="shared" si="23"/>
        <v>0.9946666666666666</v>
      </c>
      <c r="K249" s="223"/>
      <c r="L249" s="224"/>
    </row>
    <row r="250" spans="1:12" ht="18.75">
      <c r="A250" s="125"/>
      <c r="B250" s="116"/>
      <c r="C250" s="132" t="s">
        <v>75</v>
      </c>
      <c r="D250" s="132" t="s">
        <v>766</v>
      </c>
      <c r="E250" s="122" t="s">
        <v>502</v>
      </c>
      <c r="F250" s="130">
        <f>F251</f>
        <v>300</v>
      </c>
      <c r="G250" s="130">
        <f t="shared" si="31"/>
        <v>0</v>
      </c>
      <c r="H250" s="130">
        <f t="shared" si="31"/>
        <v>300</v>
      </c>
      <c r="I250" s="130">
        <f t="shared" si="31"/>
        <v>298.4</v>
      </c>
      <c r="J250" s="166">
        <f t="shared" si="23"/>
        <v>0.9946666666666666</v>
      </c>
      <c r="K250" s="223"/>
      <c r="L250" s="224"/>
    </row>
    <row r="251" spans="1:12" ht="37.5">
      <c r="A251" s="125"/>
      <c r="B251" s="116"/>
      <c r="C251" s="132" t="s">
        <v>76</v>
      </c>
      <c r="D251" s="132"/>
      <c r="E251" s="122" t="s">
        <v>77</v>
      </c>
      <c r="F251" s="130">
        <f>F252</f>
        <v>300</v>
      </c>
      <c r="G251" s="130">
        <f t="shared" si="31"/>
        <v>0</v>
      </c>
      <c r="H251" s="130">
        <f t="shared" si="31"/>
        <v>300</v>
      </c>
      <c r="I251" s="130">
        <f t="shared" si="31"/>
        <v>298.4</v>
      </c>
      <c r="J251" s="166">
        <f t="shared" si="23"/>
        <v>0.9946666666666666</v>
      </c>
      <c r="K251" s="223"/>
      <c r="L251" s="224"/>
    </row>
    <row r="252" spans="1:12" ht="18.75">
      <c r="A252" s="125"/>
      <c r="B252" s="116"/>
      <c r="C252" s="128" t="s">
        <v>921</v>
      </c>
      <c r="D252" s="174" t="s">
        <v>766</v>
      </c>
      <c r="E252" s="175" t="s">
        <v>922</v>
      </c>
      <c r="F252" s="115">
        <f>F253</f>
        <v>300</v>
      </c>
      <c r="G252" s="115">
        <f t="shared" si="31"/>
        <v>0</v>
      </c>
      <c r="H252" s="115">
        <f t="shared" si="31"/>
        <v>300</v>
      </c>
      <c r="I252" s="115">
        <f t="shared" si="31"/>
        <v>298.4</v>
      </c>
      <c r="J252" s="167">
        <f t="shared" si="23"/>
        <v>0.9946666666666666</v>
      </c>
      <c r="K252" s="223"/>
      <c r="L252" s="224"/>
    </row>
    <row r="253" spans="1:12" ht="18.75">
      <c r="A253" s="125"/>
      <c r="B253" s="116"/>
      <c r="C253" s="117"/>
      <c r="D253" s="125" t="s">
        <v>27</v>
      </c>
      <c r="E253" s="124" t="s">
        <v>28</v>
      </c>
      <c r="F253" s="115">
        <v>300</v>
      </c>
      <c r="G253" s="115"/>
      <c r="H253" s="115">
        <f>SUM(F253:G253)</f>
        <v>300</v>
      </c>
      <c r="I253" s="115">
        <v>298.4</v>
      </c>
      <c r="J253" s="167">
        <f aca="true" t="shared" si="32" ref="J253:J316">I253/H253</f>
        <v>0.9946666666666666</v>
      </c>
      <c r="K253" s="223"/>
      <c r="L253" s="224"/>
    </row>
    <row r="254" spans="1:12" ht="18.75">
      <c r="A254" s="132"/>
      <c r="B254" s="132"/>
      <c r="C254" s="132" t="s">
        <v>145</v>
      </c>
      <c r="D254" s="132" t="s">
        <v>766</v>
      </c>
      <c r="E254" s="122" t="s">
        <v>146</v>
      </c>
      <c r="F254" s="130" t="e">
        <f aca="true" t="shared" si="33" ref="F254:I255">F255</f>
        <v>#REF!</v>
      </c>
      <c r="G254" s="130" t="e">
        <f t="shared" si="33"/>
        <v>#REF!</v>
      </c>
      <c r="H254" s="130">
        <f>H255</f>
        <v>4300</v>
      </c>
      <c r="I254" s="130">
        <f>I255</f>
        <v>4300</v>
      </c>
      <c r="J254" s="166">
        <f t="shared" si="32"/>
        <v>1</v>
      </c>
      <c r="K254" s="223"/>
      <c r="L254" s="224"/>
    </row>
    <row r="255" spans="1:12" ht="18.75">
      <c r="A255" s="132"/>
      <c r="B255" s="132"/>
      <c r="C255" s="132" t="s">
        <v>147</v>
      </c>
      <c r="D255" s="132" t="s">
        <v>766</v>
      </c>
      <c r="E255" s="122" t="s">
        <v>148</v>
      </c>
      <c r="F255" s="130" t="e">
        <f t="shared" si="33"/>
        <v>#REF!</v>
      </c>
      <c r="G255" s="130" t="e">
        <f t="shared" si="33"/>
        <v>#REF!</v>
      </c>
      <c r="H255" s="130">
        <f t="shared" si="33"/>
        <v>4300</v>
      </c>
      <c r="I255" s="130">
        <f t="shared" si="33"/>
        <v>4300</v>
      </c>
      <c r="J255" s="166">
        <f t="shared" si="32"/>
        <v>1</v>
      </c>
      <c r="K255" s="223"/>
      <c r="L255" s="224"/>
    </row>
    <row r="256" spans="1:12" ht="18.75">
      <c r="A256" s="132"/>
      <c r="B256" s="132"/>
      <c r="C256" s="132" t="s">
        <v>149</v>
      </c>
      <c r="D256" s="132"/>
      <c r="E256" s="122" t="s">
        <v>150</v>
      </c>
      <c r="F256" s="130" t="e">
        <f>#REF!+F257</f>
        <v>#REF!</v>
      </c>
      <c r="G256" s="130" t="e">
        <f>#REF!+G257</f>
        <v>#REF!</v>
      </c>
      <c r="H256" s="130">
        <f>H257</f>
        <v>4300</v>
      </c>
      <c r="I256" s="130">
        <f>I257</f>
        <v>4300</v>
      </c>
      <c r="J256" s="166">
        <f t="shared" si="32"/>
        <v>1</v>
      </c>
      <c r="K256" s="223"/>
      <c r="L256" s="224"/>
    </row>
    <row r="257" spans="1:12" ht="18.75">
      <c r="A257" s="132"/>
      <c r="B257" s="132"/>
      <c r="C257" s="125" t="s">
        <v>151</v>
      </c>
      <c r="D257" s="125" t="s">
        <v>766</v>
      </c>
      <c r="E257" s="129" t="s">
        <v>152</v>
      </c>
      <c r="F257" s="115">
        <f>F258</f>
        <v>4300</v>
      </c>
      <c r="G257" s="115">
        <f>G258</f>
        <v>-1500</v>
      </c>
      <c r="H257" s="115">
        <f>H258</f>
        <v>4300</v>
      </c>
      <c r="I257" s="115">
        <f>I258</f>
        <v>4300</v>
      </c>
      <c r="J257" s="167">
        <f t="shared" si="32"/>
        <v>1</v>
      </c>
      <c r="K257" s="223"/>
      <c r="L257" s="224"/>
    </row>
    <row r="258" spans="1:12" ht="18.75">
      <c r="A258" s="125"/>
      <c r="B258" s="125"/>
      <c r="C258" s="125"/>
      <c r="D258" s="125" t="s">
        <v>21</v>
      </c>
      <c r="E258" s="124" t="s">
        <v>22</v>
      </c>
      <c r="F258" s="115">
        <v>4300</v>
      </c>
      <c r="G258" s="115">
        <v>-1500</v>
      </c>
      <c r="H258" s="115">
        <v>4300</v>
      </c>
      <c r="I258" s="115">
        <v>4300</v>
      </c>
      <c r="J258" s="167">
        <f t="shared" si="32"/>
        <v>1</v>
      </c>
      <c r="K258" s="223"/>
      <c r="L258" s="224"/>
    </row>
    <row r="259" spans="1:12" ht="18.75">
      <c r="A259" s="125"/>
      <c r="B259" s="117" t="s">
        <v>360</v>
      </c>
      <c r="C259" s="117"/>
      <c r="D259" s="117"/>
      <c r="E259" s="118" t="s">
        <v>361</v>
      </c>
      <c r="F259" s="130" t="e">
        <f>F260+F284+F302+F346</f>
        <v>#REF!</v>
      </c>
      <c r="G259" s="130" t="e">
        <f>G260+G284+G302+G346</f>
        <v>#REF!</v>
      </c>
      <c r="H259" s="130">
        <f>H260+H284+H302+H346</f>
        <v>294616.32159</v>
      </c>
      <c r="I259" s="130">
        <f>I260+I284+I302+I346</f>
        <v>278816.97488</v>
      </c>
      <c r="J259" s="166">
        <f t="shared" si="32"/>
        <v>0.9463731451647577</v>
      </c>
      <c r="K259" s="223"/>
      <c r="L259" s="224"/>
    </row>
    <row r="260" spans="1:12" ht="18.75">
      <c r="A260" s="125"/>
      <c r="B260" s="116" t="s">
        <v>362</v>
      </c>
      <c r="C260" s="117"/>
      <c r="D260" s="117"/>
      <c r="E260" s="118" t="s">
        <v>363</v>
      </c>
      <c r="F260" s="130">
        <f>F261</f>
        <v>23074.7</v>
      </c>
      <c r="G260" s="130">
        <f aca="true" t="shared" si="34" ref="G260:I262">G261</f>
        <v>0</v>
      </c>
      <c r="H260" s="130">
        <f>H261+H279</f>
        <v>118627.12000000001</v>
      </c>
      <c r="I260" s="130">
        <f>I261+I279</f>
        <v>113520.8</v>
      </c>
      <c r="J260" s="166">
        <f t="shared" si="32"/>
        <v>0.9569548683302772</v>
      </c>
      <c r="K260" s="223"/>
      <c r="L260" s="224"/>
    </row>
    <row r="261" spans="1:12" ht="18.75">
      <c r="A261" s="132"/>
      <c r="B261" s="132"/>
      <c r="C261" s="132" t="s">
        <v>167</v>
      </c>
      <c r="D261" s="132" t="s">
        <v>766</v>
      </c>
      <c r="E261" s="122" t="s">
        <v>168</v>
      </c>
      <c r="F261" s="130">
        <f>F262</f>
        <v>23074.7</v>
      </c>
      <c r="G261" s="130">
        <f t="shared" si="34"/>
        <v>0</v>
      </c>
      <c r="H261" s="130">
        <f t="shared" si="34"/>
        <v>118601.82</v>
      </c>
      <c r="I261" s="130">
        <f t="shared" si="34"/>
        <v>113495.5</v>
      </c>
      <c r="J261" s="166">
        <f t="shared" si="32"/>
        <v>0.9569456859936888</v>
      </c>
      <c r="K261" s="223"/>
      <c r="L261" s="224"/>
    </row>
    <row r="262" spans="1:12" ht="18.75">
      <c r="A262" s="132"/>
      <c r="B262" s="132"/>
      <c r="C262" s="132" t="s">
        <v>198</v>
      </c>
      <c r="D262" s="132" t="s">
        <v>766</v>
      </c>
      <c r="E262" s="122" t="s">
        <v>199</v>
      </c>
      <c r="F262" s="130">
        <f>F263</f>
        <v>23074.7</v>
      </c>
      <c r="G262" s="130">
        <f t="shared" si="34"/>
        <v>0</v>
      </c>
      <c r="H262" s="130">
        <f>H263+H272</f>
        <v>118601.82</v>
      </c>
      <c r="I262" s="130">
        <f>I263+I272</f>
        <v>113495.5</v>
      </c>
      <c r="J262" s="166">
        <f t="shared" si="32"/>
        <v>0.9569456859936888</v>
      </c>
      <c r="K262" s="223"/>
      <c r="L262" s="224"/>
    </row>
    <row r="263" spans="1:12" ht="18.75">
      <c r="A263" s="132"/>
      <c r="B263" s="132"/>
      <c r="C263" s="132" t="s">
        <v>200</v>
      </c>
      <c r="D263" s="132"/>
      <c r="E263" s="122" t="s">
        <v>201</v>
      </c>
      <c r="F263" s="130">
        <f>F264+F267+F269</f>
        <v>23074.7</v>
      </c>
      <c r="G263" s="130">
        <f>G264+G267+G269</f>
        <v>0</v>
      </c>
      <c r="H263" s="130">
        <f>H264+H267+H269</f>
        <v>22875.600000000002</v>
      </c>
      <c r="I263" s="130">
        <f>I264+I267+I269</f>
        <v>21092</v>
      </c>
      <c r="J263" s="166">
        <f t="shared" si="32"/>
        <v>0.9220304604032243</v>
      </c>
      <c r="K263" s="223"/>
      <c r="L263" s="224"/>
    </row>
    <row r="264" spans="1:12" ht="18.75">
      <c r="A264" s="132"/>
      <c r="B264" s="132"/>
      <c r="C264" s="125" t="s">
        <v>202</v>
      </c>
      <c r="D264" s="125" t="s">
        <v>766</v>
      </c>
      <c r="E264" s="123" t="s">
        <v>438</v>
      </c>
      <c r="F264" s="115">
        <f>F265+F266</f>
        <v>16074.7</v>
      </c>
      <c r="G264" s="115">
        <f>G265+G266</f>
        <v>0</v>
      </c>
      <c r="H264" s="115">
        <f>H265+H266</f>
        <v>17254.100000000002</v>
      </c>
      <c r="I264" s="115">
        <f>I265+I266</f>
        <v>15694.800000000001</v>
      </c>
      <c r="J264" s="167">
        <f t="shared" si="32"/>
        <v>0.909627276995033</v>
      </c>
      <c r="K264" s="223"/>
      <c r="L264" s="224"/>
    </row>
    <row r="265" spans="1:12" ht="18.75">
      <c r="A265" s="125"/>
      <c r="B265" s="125"/>
      <c r="C265" s="125"/>
      <c r="D265" s="125" t="s">
        <v>27</v>
      </c>
      <c r="E265" s="124" t="s">
        <v>28</v>
      </c>
      <c r="F265" s="115">
        <f>6785.7+9249</f>
        <v>16034.7</v>
      </c>
      <c r="G265" s="115"/>
      <c r="H265" s="115">
        <v>17193.9</v>
      </c>
      <c r="I265" s="115">
        <v>15634.6</v>
      </c>
      <c r="J265" s="167">
        <f t="shared" si="32"/>
        <v>0.909310860246948</v>
      </c>
      <c r="K265" s="223"/>
      <c r="L265" s="224"/>
    </row>
    <row r="266" spans="1:12" ht="18.75">
      <c r="A266" s="125"/>
      <c r="B266" s="125"/>
      <c r="C266" s="125"/>
      <c r="D266" s="125" t="s">
        <v>62</v>
      </c>
      <c r="E266" s="124" t="s">
        <v>63</v>
      </c>
      <c r="F266" s="115">
        <v>40</v>
      </c>
      <c r="G266" s="115"/>
      <c r="H266" s="115">
        <v>60.2</v>
      </c>
      <c r="I266" s="115">
        <v>60.2</v>
      </c>
      <c r="J266" s="167">
        <f t="shared" si="32"/>
        <v>1</v>
      </c>
      <c r="K266" s="223"/>
      <c r="L266" s="224"/>
    </row>
    <row r="267" spans="1:12" ht="18.75">
      <c r="A267" s="132"/>
      <c r="B267" s="132"/>
      <c r="C267" s="125" t="s">
        <v>203</v>
      </c>
      <c r="D267" s="125" t="s">
        <v>766</v>
      </c>
      <c r="E267" s="123" t="s">
        <v>784</v>
      </c>
      <c r="F267" s="115">
        <f>F268</f>
        <v>3200</v>
      </c>
      <c r="G267" s="115">
        <f>G268</f>
        <v>0</v>
      </c>
      <c r="H267" s="115">
        <f>H268</f>
        <v>3984.7</v>
      </c>
      <c r="I267" s="115">
        <f>I268</f>
        <v>3870.9</v>
      </c>
      <c r="J267" s="167">
        <f t="shared" si="32"/>
        <v>0.9714407609104827</v>
      </c>
      <c r="K267" s="223"/>
      <c r="L267" s="224"/>
    </row>
    <row r="268" spans="1:12" ht="18.75">
      <c r="A268" s="125"/>
      <c r="B268" s="125"/>
      <c r="C268" s="125"/>
      <c r="D268" s="125" t="s">
        <v>62</v>
      </c>
      <c r="E268" s="124" t="s">
        <v>63</v>
      </c>
      <c r="F268" s="115">
        <v>3200</v>
      </c>
      <c r="G268" s="115"/>
      <c r="H268" s="115">
        <v>3984.7</v>
      </c>
      <c r="I268" s="115">
        <v>3870.9</v>
      </c>
      <c r="J268" s="167">
        <f t="shared" si="32"/>
        <v>0.9714407609104827</v>
      </c>
      <c r="K268" s="223"/>
      <c r="L268" s="224"/>
    </row>
    <row r="269" spans="1:12" ht="18.75">
      <c r="A269" s="132"/>
      <c r="B269" s="132"/>
      <c r="C269" s="125" t="s">
        <v>204</v>
      </c>
      <c r="D269" s="125" t="s">
        <v>766</v>
      </c>
      <c r="E269" s="123" t="s">
        <v>205</v>
      </c>
      <c r="F269" s="115">
        <f>F270+F271</f>
        <v>3800</v>
      </c>
      <c r="G269" s="115">
        <f>G270+G271</f>
        <v>0</v>
      </c>
      <c r="H269" s="115">
        <f>H270+H271</f>
        <v>1636.8</v>
      </c>
      <c r="I269" s="115">
        <f>I270+I271</f>
        <v>1526.3</v>
      </c>
      <c r="J269" s="167">
        <f t="shared" si="32"/>
        <v>0.9324902248289345</v>
      </c>
      <c r="K269" s="223"/>
      <c r="L269" s="224"/>
    </row>
    <row r="270" spans="1:12" ht="18.75">
      <c r="A270" s="125"/>
      <c r="B270" s="125"/>
      <c r="C270" s="125"/>
      <c r="D270" s="125" t="s">
        <v>27</v>
      </c>
      <c r="E270" s="124" t="s">
        <v>28</v>
      </c>
      <c r="F270" s="115">
        <v>2300</v>
      </c>
      <c r="G270" s="115"/>
      <c r="H270" s="115">
        <v>136.8</v>
      </c>
      <c r="I270" s="115">
        <v>136.8</v>
      </c>
      <c r="J270" s="167">
        <f t="shared" si="32"/>
        <v>1</v>
      </c>
      <c r="K270" s="223"/>
      <c r="L270" s="224"/>
    </row>
    <row r="271" spans="1:12" ht="18.75">
      <c r="A271" s="125"/>
      <c r="B271" s="125"/>
      <c r="C271" s="125"/>
      <c r="D271" s="125" t="s">
        <v>62</v>
      </c>
      <c r="E271" s="124" t="s">
        <v>63</v>
      </c>
      <c r="F271" s="115">
        <v>1500</v>
      </c>
      <c r="G271" s="115"/>
      <c r="H271" s="115">
        <f>SUM(F271:G271)</f>
        <v>1500</v>
      </c>
      <c r="I271" s="115">
        <v>1389.5</v>
      </c>
      <c r="J271" s="167">
        <f t="shared" si="32"/>
        <v>0.9263333333333333</v>
      </c>
      <c r="K271" s="223"/>
      <c r="L271" s="224"/>
    </row>
    <row r="272" spans="1:12" ht="18.75">
      <c r="A272" s="125"/>
      <c r="B272" s="125"/>
      <c r="C272" s="132" t="s">
        <v>206</v>
      </c>
      <c r="D272" s="132" t="s">
        <v>766</v>
      </c>
      <c r="E272" s="122" t="s">
        <v>207</v>
      </c>
      <c r="F272" s="115"/>
      <c r="G272" s="115"/>
      <c r="H272" s="130">
        <f>H273+H276</f>
        <v>95726.22</v>
      </c>
      <c r="I272" s="130">
        <f>I273+I276</f>
        <v>92403.5</v>
      </c>
      <c r="J272" s="166">
        <f t="shared" si="32"/>
        <v>0.9652893428780537</v>
      </c>
      <c r="K272" s="223"/>
      <c r="L272" s="224"/>
    </row>
    <row r="273" spans="1:12" ht="18.75">
      <c r="A273" s="125"/>
      <c r="B273" s="125"/>
      <c r="C273" s="125" t="s">
        <v>923</v>
      </c>
      <c r="D273" s="125" t="s">
        <v>766</v>
      </c>
      <c r="E273" s="123" t="s">
        <v>924</v>
      </c>
      <c r="F273" s="115"/>
      <c r="G273" s="115"/>
      <c r="H273" s="115">
        <f>H275+H274</f>
        <v>47863.1</v>
      </c>
      <c r="I273" s="115">
        <f>I275+I274</f>
        <v>46308.1</v>
      </c>
      <c r="J273" s="167">
        <f t="shared" si="32"/>
        <v>0.9675115067766191</v>
      </c>
      <c r="K273" s="223"/>
      <c r="L273" s="224"/>
    </row>
    <row r="274" spans="1:12" ht="18.75">
      <c r="A274" s="125"/>
      <c r="B274" s="125"/>
      <c r="C274" s="125"/>
      <c r="D274" s="125" t="s">
        <v>32</v>
      </c>
      <c r="E274" s="124" t="s">
        <v>33</v>
      </c>
      <c r="F274" s="115"/>
      <c r="G274" s="115"/>
      <c r="H274" s="115">
        <v>46411.9</v>
      </c>
      <c r="I274" s="115">
        <v>44856.9</v>
      </c>
      <c r="J274" s="167">
        <f t="shared" si="32"/>
        <v>0.9664956616729761</v>
      </c>
      <c r="K274" s="223"/>
      <c r="L274" s="224"/>
    </row>
    <row r="275" spans="1:12" ht="18.75">
      <c r="A275" s="125"/>
      <c r="B275" s="125"/>
      <c r="C275" s="123"/>
      <c r="D275" s="125" t="s">
        <v>188</v>
      </c>
      <c r="E275" s="124" t="s">
        <v>208</v>
      </c>
      <c r="F275" s="115"/>
      <c r="G275" s="115"/>
      <c r="H275" s="115">
        <v>1451.2</v>
      </c>
      <c r="I275" s="115">
        <v>1451.2</v>
      </c>
      <c r="J275" s="167">
        <f t="shared" si="32"/>
        <v>1</v>
      </c>
      <c r="K275" s="223"/>
      <c r="L275" s="224"/>
    </row>
    <row r="276" spans="1:12" s="176" customFormat="1" ht="18.75">
      <c r="A276" s="119"/>
      <c r="B276" s="119"/>
      <c r="C276" s="119" t="s">
        <v>923</v>
      </c>
      <c r="D276" s="119" t="s">
        <v>766</v>
      </c>
      <c r="E276" s="133" t="s">
        <v>925</v>
      </c>
      <c r="F276" s="131"/>
      <c r="G276" s="131"/>
      <c r="H276" s="131">
        <f>H278+H277</f>
        <v>47863.12</v>
      </c>
      <c r="I276" s="131">
        <f>I278+I277</f>
        <v>46095.4</v>
      </c>
      <c r="J276" s="169">
        <f t="shared" si="32"/>
        <v>0.9630671799080377</v>
      </c>
      <c r="K276" s="223"/>
      <c r="L276" s="224"/>
    </row>
    <row r="277" spans="1:12" s="176" customFormat="1" ht="18.75">
      <c r="A277" s="119"/>
      <c r="B277" s="119"/>
      <c r="C277" s="119"/>
      <c r="D277" s="119" t="s">
        <v>32</v>
      </c>
      <c r="E277" s="120" t="s">
        <v>33</v>
      </c>
      <c r="F277" s="131"/>
      <c r="G277" s="131"/>
      <c r="H277" s="131">
        <v>31760.02</v>
      </c>
      <c r="I277" s="131">
        <v>30841.8</v>
      </c>
      <c r="J277" s="169">
        <f t="shared" si="32"/>
        <v>0.9710888091380294</v>
      </c>
      <c r="K277" s="223"/>
      <c r="L277" s="224"/>
    </row>
    <row r="278" spans="1:12" s="176" customFormat="1" ht="18.75">
      <c r="A278" s="119"/>
      <c r="B278" s="119"/>
      <c r="C278" s="133"/>
      <c r="D278" s="119" t="s">
        <v>188</v>
      </c>
      <c r="E278" s="120" t="s">
        <v>208</v>
      </c>
      <c r="F278" s="131"/>
      <c r="G278" s="131"/>
      <c r="H278" s="131">
        <v>16103.1</v>
      </c>
      <c r="I278" s="131">
        <v>15253.6</v>
      </c>
      <c r="J278" s="169">
        <f t="shared" si="32"/>
        <v>0.9472461824120821</v>
      </c>
      <c r="K278" s="223"/>
      <c r="L278" s="224"/>
    </row>
    <row r="279" spans="1:12" s="176" customFormat="1" ht="18.75">
      <c r="A279" s="119"/>
      <c r="B279" s="119"/>
      <c r="C279" s="132" t="s">
        <v>255</v>
      </c>
      <c r="D279" s="132" t="s">
        <v>766</v>
      </c>
      <c r="E279" s="122" t="s">
        <v>256</v>
      </c>
      <c r="F279" s="115"/>
      <c r="G279" s="115"/>
      <c r="H279" s="130">
        <f aca="true" t="shared" si="35" ref="H279:I282">H280</f>
        <v>25.3</v>
      </c>
      <c r="I279" s="130">
        <f t="shared" si="35"/>
        <v>25.3</v>
      </c>
      <c r="J279" s="166">
        <f t="shared" si="32"/>
        <v>1</v>
      </c>
      <c r="K279" s="223"/>
      <c r="L279" s="224"/>
    </row>
    <row r="280" spans="1:12" s="176" customFormat="1" ht="18.75">
      <c r="A280" s="119"/>
      <c r="B280" s="119"/>
      <c r="C280" s="132" t="s">
        <v>261</v>
      </c>
      <c r="D280" s="132" t="s">
        <v>766</v>
      </c>
      <c r="E280" s="122" t="s">
        <v>262</v>
      </c>
      <c r="F280" s="115"/>
      <c r="G280" s="115"/>
      <c r="H280" s="130">
        <f t="shared" si="35"/>
        <v>25.3</v>
      </c>
      <c r="I280" s="130">
        <f t="shared" si="35"/>
        <v>25.3</v>
      </c>
      <c r="J280" s="166">
        <f t="shared" si="32"/>
        <v>1</v>
      </c>
      <c r="K280" s="223"/>
      <c r="L280" s="224"/>
    </row>
    <row r="281" spans="1:12" s="176" customFormat="1" ht="18.75">
      <c r="A281" s="119"/>
      <c r="B281" s="119"/>
      <c r="C281" s="132" t="s">
        <v>265</v>
      </c>
      <c r="D281" s="132"/>
      <c r="E281" s="122" t="s">
        <v>266</v>
      </c>
      <c r="F281" s="115"/>
      <c r="G281" s="115"/>
      <c r="H281" s="130">
        <f t="shared" si="35"/>
        <v>25.3</v>
      </c>
      <c r="I281" s="130">
        <f t="shared" si="35"/>
        <v>25.3</v>
      </c>
      <c r="J281" s="166">
        <f t="shared" si="32"/>
        <v>1</v>
      </c>
      <c r="K281" s="223"/>
      <c r="L281" s="224"/>
    </row>
    <row r="282" spans="1:12" s="176" customFormat="1" ht="37.5">
      <c r="A282" s="119"/>
      <c r="B282" s="119"/>
      <c r="C282" s="119" t="s">
        <v>926</v>
      </c>
      <c r="D282" s="119"/>
      <c r="E282" s="120" t="s">
        <v>785</v>
      </c>
      <c r="F282" s="131">
        <f>F283</f>
        <v>273.5</v>
      </c>
      <c r="G282" s="131">
        <f>G283</f>
        <v>0</v>
      </c>
      <c r="H282" s="131">
        <f t="shared" si="35"/>
        <v>25.3</v>
      </c>
      <c r="I282" s="131">
        <f t="shared" si="35"/>
        <v>25.3</v>
      </c>
      <c r="J282" s="169">
        <f t="shared" si="32"/>
        <v>1</v>
      </c>
      <c r="K282" s="223"/>
      <c r="L282" s="224"/>
    </row>
    <row r="283" spans="1:12" s="176" customFormat="1" ht="18.75">
      <c r="A283" s="119"/>
      <c r="B283" s="119"/>
      <c r="C283" s="119"/>
      <c r="D283" s="119" t="s">
        <v>27</v>
      </c>
      <c r="E283" s="120" t="s">
        <v>28</v>
      </c>
      <c r="F283" s="131">
        <v>273.5</v>
      </c>
      <c r="G283" s="131"/>
      <c r="H283" s="131">
        <v>25.3</v>
      </c>
      <c r="I283" s="131">
        <v>25.3</v>
      </c>
      <c r="J283" s="169">
        <f t="shared" si="32"/>
        <v>1</v>
      </c>
      <c r="K283" s="223"/>
      <c r="L283" s="224"/>
    </row>
    <row r="284" spans="1:12" ht="18.75">
      <c r="A284" s="125"/>
      <c r="B284" s="116" t="s">
        <v>364</v>
      </c>
      <c r="C284" s="117"/>
      <c r="D284" s="117"/>
      <c r="E284" s="118" t="s">
        <v>365</v>
      </c>
      <c r="F284" s="130" t="e">
        <f aca="true" t="shared" si="36" ref="F284:I285">F285</f>
        <v>#REF!</v>
      </c>
      <c r="G284" s="130" t="e">
        <f t="shared" si="36"/>
        <v>#REF!</v>
      </c>
      <c r="H284" s="130">
        <f t="shared" si="36"/>
        <v>32970.2</v>
      </c>
      <c r="I284" s="130">
        <f t="shared" si="36"/>
        <v>27445.1</v>
      </c>
      <c r="J284" s="166">
        <f t="shared" si="32"/>
        <v>0.8324213987176299</v>
      </c>
      <c r="K284" s="223"/>
      <c r="L284" s="224"/>
    </row>
    <row r="285" spans="1:12" ht="18.75">
      <c r="A285" s="132"/>
      <c r="B285" s="132"/>
      <c r="C285" s="132" t="s">
        <v>167</v>
      </c>
      <c r="D285" s="132" t="s">
        <v>766</v>
      </c>
      <c r="E285" s="122" t="s">
        <v>168</v>
      </c>
      <c r="F285" s="130" t="e">
        <f t="shared" si="36"/>
        <v>#REF!</v>
      </c>
      <c r="G285" s="130" t="e">
        <f t="shared" si="36"/>
        <v>#REF!</v>
      </c>
      <c r="H285" s="130">
        <f t="shared" si="36"/>
        <v>32970.2</v>
      </c>
      <c r="I285" s="130">
        <f t="shared" si="36"/>
        <v>27445.1</v>
      </c>
      <c r="J285" s="166">
        <f t="shared" si="32"/>
        <v>0.8324213987176299</v>
      </c>
      <c r="K285" s="223"/>
      <c r="L285" s="224"/>
    </row>
    <row r="286" spans="1:12" ht="37.5">
      <c r="A286" s="132"/>
      <c r="B286" s="132"/>
      <c r="C286" s="132" t="s">
        <v>180</v>
      </c>
      <c r="D286" s="132" t="s">
        <v>766</v>
      </c>
      <c r="E286" s="122" t="s">
        <v>181</v>
      </c>
      <c r="F286" s="130" t="e">
        <f>F288+F290</f>
        <v>#REF!</v>
      </c>
      <c r="G286" s="130" t="e">
        <f>G288+G290</f>
        <v>#REF!</v>
      </c>
      <c r="H286" s="130">
        <f>H288+H290</f>
        <v>32970.2</v>
      </c>
      <c r="I286" s="130">
        <f>I288+I290</f>
        <v>27445.1</v>
      </c>
      <c r="J286" s="166">
        <f t="shared" si="32"/>
        <v>0.8324213987176299</v>
      </c>
      <c r="K286" s="223"/>
      <c r="L286" s="224"/>
    </row>
    <row r="287" spans="1:12" ht="37.5">
      <c r="A287" s="132"/>
      <c r="B287" s="132"/>
      <c r="C287" s="132" t="s">
        <v>182</v>
      </c>
      <c r="D287" s="132"/>
      <c r="E287" s="122" t="s">
        <v>183</v>
      </c>
      <c r="F287" s="130" t="e">
        <f>F288</f>
        <v>#REF!</v>
      </c>
      <c r="G287" s="130" t="e">
        <f>G288</f>
        <v>#REF!</v>
      </c>
      <c r="H287" s="130">
        <f>H288</f>
        <v>5062.6</v>
      </c>
      <c r="I287" s="130">
        <f>I288</f>
        <v>4867.9</v>
      </c>
      <c r="J287" s="166">
        <f t="shared" si="32"/>
        <v>0.9615415004148065</v>
      </c>
      <c r="K287" s="223"/>
      <c r="L287" s="224"/>
    </row>
    <row r="288" spans="1:12" ht="37.5">
      <c r="A288" s="132"/>
      <c r="B288" s="132"/>
      <c r="C288" s="125" t="s">
        <v>184</v>
      </c>
      <c r="D288" s="125" t="s">
        <v>766</v>
      </c>
      <c r="E288" s="123" t="s">
        <v>185</v>
      </c>
      <c r="F288" s="115" t="e">
        <f>F289+#REF!</f>
        <v>#REF!</v>
      </c>
      <c r="G288" s="115" t="e">
        <f>G289+#REF!</f>
        <v>#REF!</v>
      </c>
      <c r="H288" s="115">
        <f>H289</f>
        <v>5062.6</v>
      </c>
      <c r="I288" s="115">
        <f>I289</f>
        <v>4867.9</v>
      </c>
      <c r="J288" s="167">
        <f t="shared" si="32"/>
        <v>0.9615415004148065</v>
      </c>
      <c r="K288" s="223"/>
      <c r="L288" s="224"/>
    </row>
    <row r="289" spans="1:12" ht="18.75">
      <c r="A289" s="125"/>
      <c r="B289" s="125"/>
      <c r="C289" s="125"/>
      <c r="D289" s="125" t="s">
        <v>62</v>
      </c>
      <c r="E289" s="124" t="s">
        <v>63</v>
      </c>
      <c r="F289" s="115">
        <v>1000</v>
      </c>
      <c r="G289" s="115"/>
      <c r="H289" s="115">
        <v>5062.6</v>
      </c>
      <c r="I289" s="115">
        <v>4867.9</v>
      </c>
      <c r="J289" s="167">
        <f t="shared" si="32"/>
        <v>0.9615415004148065</v>
      </c>
      <c r="K289" s="223"/>
      <c r="L289" s="224"/>
    </row>
    <row r="290" spans="1:12" ht="18.75">
      <c r="A290" s="132"/>
      <c r="B290" s="132"/>
      <c r="C290" s="132" t="s">
        <v>186</v>
      </c>
      <c r="D290" s="132"/>
      <c r="E290" s="122" t="s">
        <v>187</v>
      </c>
      <c r="F290" s="130" t="e">
        <f>F297+F291</f>
        <v>#REF!</v>
      </c>
      <c r="G290" s="130" t="e">
        <f>G297+G291</f>
        <v>#REF!</v>
      </c>
      <c r="H290" s="130">
        <f>H297+H291+H293+H295</f>
        <v>27907.6</v>
      </c>
      <c r="I290" s="130">
        <f>I297+I291+I293+I295</f>
        <v>22577.2</v>
      </c>
      <c r="J290" s="166">
        <f t="shared" si="32"/>
        <v>0.8089982657053993</v>
      </c>
      <c r="K290" s="223"/>
      <c r="L290" s="224"/>
    </row>
    <row r="291" spans="1:12" ht="37.5">
      <c r="A291" s="132"/>
      <c r="B291" s="132"/>
      <c r="C291" s="125" t="s">
        <v>787</v>
      </c>
      <c r="D291" s="125"/>
      <c r="E291" s="123" t="s">
        <v>788</v>
      </c>
      <c r="F291" s="115">
        <f>F292</f>
        <v>10660.1</v>
      </c>
      <c r="G291" s="115">
        <f>G292</f>
        <v>0</v>
      </c>
      <c r="H291" s="115">
        <f>H292</f>
        <v>13325.1</v>
      </c>
      <c r="I291" s="115">
        <f>I292</f>
        <v>12474.9</v>
      </c>
      <c r="J291" s="167">
        <f t="shared" si="32"/>
        <v>0.9361956007834837</v>
      </c>
      <c r="K291" s="223"/>
      <c r="L291" s="224"/>
    </row>
    <row r="292" spans="1:12" ht="18.75">
      <c r="A292" s="132"/>
      <c r="B292" s="132"/>
      <c r="C292" s="125"/>
      <c r="D292" s="125" t="s">
        <v>27</v>
      </c>
      <c r="E292" s="124" t="s">
        <v>28</v>
      </c>
      <c r="F292" s="115">
        <v>10660.1</v>
      </c>
      <c r="G292" s="115"/>
      <c r="H292" s="115">
        <v>13325.1</v>
      </c>
      <c r="I292" s="115">
        <v>12474.9</v>
      </c>
      <c r="J292" s="167">
        <f t="shared" si="32"/>
        <v>0.9361956007834837</v>
      </c>
      <c r="K292" s="223"/>
      <c r="L292" s="224"/>
    </row>
    <row r="293" spans="1:12" ht="18.75">
      <c r="A293" s="132"/>
      <c r="B293" s="132"/>
      <c r="C293" s="125" t="s">
        <v>432</v>
      </c>
      <c r="D293" s="125"/>
      <c r="E293" s="123" t="s">
        <v>786</v>
      </c>
      <c r="F293" s="115"/>
      <c r="G293" s="115"/>
      <c r="H293" s="115">
        <f>H294</f>
        <v>12100.8</v>
      </c>
      <c r="I293" s="115">
        <f>I294</f>
        <v>9391.9</v>
      </c>
      <c r="J293" s="167">
        <f t="shared" si="32"/>
        <v>0.7761387676847812</v>
      </c>
      <c r="K293" s="223"/>
      <c r="L293" s="224"/>
    </row>
    <row r="294" spans="1:12" ht="18.75">
      <c r="A294" s="132"/>
      <c r="B294" s="132"/>
      <c r="C294" s="125"/>
      <c r="D294" s="125" t="s">
        <v>27</v>
      </c>
      <c r="E294" s="124" t="s">
        <v>28</v>
      </c>
      <c r="F294" s="115"/>
      <c r="G294" s="115"/>
      <c r="H294" s="115">
        <v>12100.8</v>
      </c>
      <c r="I294" s="115">
        <v>9391.9</v>
      </c>
      <c r="J294" s="167">
        <f t="shared" si="32"/>
        <v>0.7761387676847812</v>
      </c>
      <c r="K294" s="223"/>
      <c r="L294" s="224"/>
    </row>
    <row r="295" spans="1:12" ht="18.75">
      <c r="A295" s="132"/>
      <c r="B295" s="132"/>
      <c r="C295" s="125" t="s">
        <v>927</v>
      </c>
      <c r="D295" s="125"/>
      <c r="E295" s="124" t="s">
        <v>928</v>
      </c>
      <c r="F295" s="115"/>
      <c r="G295" s="115"/>
      <c r="H295" s="115">
        <f>H296</f>
        <v>710.4</v>
      </c>
      <c r="I295" s="115">
        <f>I296</f>
        <v>710.4</v>
      </c>
      <c r="J295" s="167">
        <f t="shared" si="32"/>
        <v>1</v>
      </c>
      <c r="K295" s="223"/>
      <c r="L295" s="224"/>
    </row>
    <row r="296" spans="1:12" ht="18.75">
      <c r="A296" s="132"/>
      <c r="B296" s="132"/>
      <c r="C296" s="125"/>
      <c r="D296" s="125" t="s">
        <v>62</v>
      </c>
      <c r="E296" s="124" t="s">
        <v>63</v>
      </c>
      <c r="F296" s="115"/>
      <c r="G296" s="115"/>
      <c r="H296" s="115">
        <v>710.4</v>
      </c>
      <c r="I296" s="115">
        <v>710.4</v>
      </c>
      <c r="J296" s="167">
        <f t="shared" si="32"/>
        <v>1</v>
      </c>
      <c r="K296" s="223"/>
      <c r="L296" s="224"/>
    </row>
    <row r="297" spans="1:12" ht="29.25" customHeight="1">
      <c r="A297" s="125"/>
      <c r="B297" s="125"/>
      <c r="C297" s="128" t="s">
        <v>929</v>
      </c>
      <c r="D297" s="125"/>
      <c r="E297" s="124" t="s">
        <v>423</v>
      </c>
      <c r="F297" s="115" t="e">
        <f>F298+#REF!+F300</f>
        <v>#REF!</v>
      </c>
      <c r="G297" s="115" t="e">
        <f>G298+#REF!+G300</f>
        <v>#REF!</v>
      </c>
      <c r="H297" s="115">
        <f>H298+H300</f>
        <v>1771.3</v>
      </c>
      <c r="I297" s="115">
        <f>I298+I300</f>
        <v>0</v>
      </c>
      <c r="J297" s="167">
        <f t="shared" si="32"/>
        <v>0</v>
      </c>
      <c r="K297" s="223"/>
      <c r="L297" s="224"/>
    </row>
    <row r="298" spans="1:12" ht="37.5">
      <c r="A298" s="132"/>
      <c r="B298" s="132"/>
      <c r="C298" s="125" t="s">
        <v>930</v>
      </c>
      <c r="D298" s="125"/>
      <c r="E298" s="123" t="s">
        <v>931</v>
      </c>
      <c r="F298" s="115">
        <f>F299</f>
        <v>3965.1</v>
      </c>
      <c r="G298" s="115">
        <f>G299</f>
        <v>0</v>
      </c>
      <c r="H298" s="115">
        <f>H299</f>
        <v>1271.3</v>
      </c>
      <c r="I298" s="115">
        <f>I299</f>
        <v>0</v>
      </c>
      <c r="J298" s="167">
        <f t="shared" si="32"/>
        <v>0</v>
      </c>
      <c r="K298" s="223"/>
      <c r="L298" s="224"/>
    </row>
    <row r="299" spans="1:12" ht="18.75">
      <c r="A299" s="125"/>
      <c r="B299" s="125"/>
      <c r="C299" s="125"/>
      <c r="D299" s="125" t="s">
        <v>188</v>
      </c>
      <c r="E299" s="124" t="s">
        <v>208</v>
      </c>
      <c r="F299" s="115">
        <v>3965.1</v>
      </c>
      <c r="G299" s="115"/>
      <c r="H299" s="115">
        <v>1271.3</v>
      </c>
      <c r="I299" s="115">
        <v>0</v>
      </c>
      <c r="J299" s="167">
        <f t="shared" si="32"/>
        <v>0</v>
      </c>
      <c r="K299" s="223"/>
      <c r="L299" s="224"/>
    </row>
    <row r="300" spans="1:12" ht="18.75">
      <c r="A300" s="125"/>
      <c r="B300" s="125"/>
      <c r="C300" s="125" t="s">
        <v>932</v>
      </c>
      <c r="D300" s="125"/>
      <c r="E300" s="124" t="s">
        <v>933</v>
      </c>
      <c r="F300" s="115">
        <f>F301</f>
        <v>500</v>
      </c>
      <c r="G300" s="115">
        <f>G301</f>
        <v>0</v>
      </c>
      <c r="H300" s="115">
        <f>H301</f>
        <v>500</v>
      </c>
      <c r="I300" s="115">
        <f>I301</f>
        <v>0</v>
      </c>
      <c r="J300" s="167">
        <f t="shared" si="32"/>
        <v>0</v>
      </c>
      <c r="K300" s="223"/>
      <c r="L300" s="224"/>
    </row>
    <row r="301" spans="1:12" ht="18.75">
      <c r="A301" s="125"/>
      <c r="B301" s="125"/>
      <c r="C301" s="125"/>
      <c r="D301" s="125" t="s">
        <v>188</v>
      </c>
      <c r="E301" s="124" t="s">
        <v>208</v>
      </c>
      <c r="F301" s="115">
        <v>500</v>
      </c>
      <c r="G301" s="115"/>
      <c r="H301" s="115">
        <f>SUM(F301:G301)</f>
        <v>500</v>
      </c>
      <c r="I301" s="115"/>
      <c r="J301" s="167">
        <f t="shared" si="32"/>
        <v>0</v>
      </c>
      <c r="K301" s="223"/>
      <c r="L301" s="224"/>
    </row>
    <row r="302" spans="1:12" ht="18.75">
      <c r="A302" s="125"/>
      <c r="B302" s="117" t="s">
        <v>366</v>
      </c>
      <c r="C302" s="117"/>
      <c r="D302" s="117"/>
      <c r="E302" s="118" t="s">
        <v>367</v>
      </c>
      <c r="F302" s="130">
        <f>F308</f>
        <v>53961</v>
      </c>
      <c r="G302" s="130">
        <f>G308</f>
        <v>0</v>
      </c>
      <c r="H302" s="130">
        <f>H308+H303</f>
        <v>106900.44159</v>
      </c>
      <c r="I302" s="130">
        <f>I308+I303</f>
        <v>103273.61488000001</v>
      </c>
      <c r="J302" s="166">
        <f t="shared" si="32"/>
        <v>0.9660728556771531</v>
      </c>
      <c r="K302" s="223"/>
      <c r="L302" s="224"/>
    </row>
    <row r="303" spans="1:12" ht="18.75">
      <c r="A303" s="125"/>
      <c r="B303" s="117"/>
      <c r="C303" s="132" t="s">
        <v>16</v>
      </c>
      <c r="D303" s="132" t="s">
        <v>766</v>
      </c>
      <c r="E303" s="122" t="s">
        <v>17</v>
      </c>
      <c r="F303" s="115"/>
      <c r="G303" s="115"/>
      <c r="H303" s="130">
        <f aca="true" t="shared" si="37" ref="H303:I306">H304</f>
        <v>3004.7</v>
      </c>
      <c r="I303" s="130">
        <f t="shared" si="37"/>
        <v>2804.7</v>
      </c>
      <c r="J303" s="166">
        <f t="shared" si="32"/>
        <v>0.9334376144041002</v>
      </c>
      <c r="K303" s="223"/>
      <c r="L303" s="224"/>
    </row>
    <row r="304" spans="1:12" ht="18.75">
      <c r="A304" s="125"/>
      <c r="B304" s="117"/>
      <c r="C304" s="132" t="s">
        <v>18</v>
      </c>
      <c r="D304" s="132" t="s">
        <v>766</v>
      </c>
      <c r="E304" s="122" t="s">
        <v>19</v>
      </c>
      <c r="F304" s="115"/>
      <c r="G304" s="115"/>
      <c r="H304" s="130">
        <f t="shared" si="37"/>
        <v>3004.7</v>
      </c>
      <c r="I304" s="130">
        <f t="shared" si="37"/>
        <v>2804.7</v>
      </c>
      <c r="J304" s="166">
        <f t="shared" si="32"/>
        <v>0.9334376144041002</v>
      </c>
      <c r="K304" s="223"/>
      <c r="L304" s="224"/>
    </row>
    <row r="305" spans="1:12" ht="37.5">
      <c r="A305" s="125"/>
      <c r="B305" s="117"/>
      <c r="C305" s="132" t="s">
        <v>20</v>
      </c>
      <c r="D305" s="132"/>
      <c r="E305" s="122" t="s">
        <v>934</v>
      </c>
      <c r="F305" s="115"/>
      <c r="G305" s="115"/>
      <c r="H305" s="130">
        <f t="shared" si="37"/>
        <v>3004.7</v>
      </c>
      <c r="I305" s="130">
        <f t="shared" si="37"/>
        <v>2804.7</v>
      </c>
      <c r="J305" s="166">
        <f t="shared" si="32"/>
        <v>0.9334376144041002</v>
      </c>
      <c r="K305" s="223"/>
      <c r="L305" s="224"/>
    </row>
    <row r="306" spans="1:12" ht="18.75">
      <c r="A306" s="125"/>
      <c r="B306" s="117"/>
      <c r="C306" s="128" t="s">
        <v>789</v>
      </c>
      <c r="D306" s="128"/>
      <c r="E306" s="129" t="s">
        <v>935</v>
      </c>
      <c r="F306" s="115"/>
      <c r="G306" s="115"/>
      <c r="H306" s="115">
        <f t="shared" si="37"/>
        <v>3004.7</v>
      </c>
      <c r="I306" s="115">
        <f>I307</f>
        <v>2804.7</v>
      </c>
      <c r="J306" s="167">
        <f t="shared" si="32"/>
        <v>0.9334376144041002</v>
      </c>
      <c r="K306" s="223"/>
      <c r="L306" s="224"/>
    </row>
    <row r="307" spans="1:12" ht="18.75">
      <c r="A307" s="125"/>
      <c r="B307" s="117"/>
      <c r="C307" s="125"/>
      <c r="D307" s="125" t="s">
        <v>27</v>
      </c>
      <c r="E307" s="124" t="s">
        <v>28</v>
      </c>
      <c r="F307" s="115"/>
      <c r="G307" s="115"/>
      <c r="H307" s="115">
        <v>3004.7</v>
      </c>
      <c r="I307" s="115">
        <v>2804.7</v>
      </c>
      <c r="J307" s="167">
        <f t="shared" si="32"/>
        <v>0.9334376144041002</v>
      </c>
      <c r="K307" s="223"/>
      <c r="L307" s="224"/>
    </row>
    <row r="308" spans="1:12" ht="18.75">
      <c r="A308" s="132"/>
      <c r="B308" s="132"/>
      <c r="C308" s="132" t="s">
        <v>167</v>
      </c>
      <c r="D308" s="132" t="s">
        <v>766</v>
      </c>
      <c r="E308" s="122" t="s">
        <v>168</v>
      </c>
      <c r="F308" s="130">
        <f>F309+F342</f>
        <v>53961</v>
      </c>
      <c r="G308" s="130">
        <f>G309+G342</f>
        <v>0</v>
      </c>
      <c r="H308" s="130">
        <f>H309+H342</f>
        <v>103895.74159</v>
      </c>
      <c r="I308" s="130">
        <f>I309+I342</f>
        <v>100468.91488000001</v>
      </c>
      <c r="J308" s="166">
        <f t="shared" si="32"/>
        <v>0.9670166778969329</v>
      </c>
      <c r="K308" s="223"/>
      <c r="L308" s="224"/>
    </row>
    <row r="309" spans="1:12" ht="18.75">
      <c r="A309" s="132"/>
      <c r="B309" s="132"/>
      <c r="C309" s="132" t="s">
        <v>169</v>
      </c>
      <c r="D309" s="132" t="s">
        <v>766</v>
      </c>
      <c r="E309" s="122" t="s">
        <v>170</v>
      </c>
      <c r="F309" s="130">
        <f>F310+F317+F325</f>
        <v>30879.6</v>
      </c>
      <c r="G309" s="130">
        <f>G310+G317+G325</f>
        <v>0</v>
      </c>
      <c r="H309" s="130">
        <f>H310+H317+H325</f>
        <v>77062.44159</v>
      </c>
      <c r="I309" s="130">
        <f>I310+I317+I325</f>
        <v>73635.61488000001</v>
      </c>
      <c r="J309" s="166">
        <f t="shared" si="32"/>
        <v>0.955531817584603</v>
      </c>
      <c r="K309" s="223"/>
      <c r="L309" s="224"/>
    </row>
    <row r="310" spans="1:12" ht="18.75">
      <c r="A310" s="132"/>
      <c r="B310" s="132"/>
      <c r="C310" s="132" t="s">
        <v>171</v>
      </c>
      <c r="D310" s="132"/>
      <c r="E310" s="122" t="s">
        <v>172</v>
      </c>
      <c r="F310" s="130">
        <f>F311+F314</f>
        <v>20690.5</v>
      </c>
      <c r="G310" s="130">
        <f>G311+G314</f>
        <v>0</v>
      </c>
      <c r="H310" s="130">
        <f>H311+H314</f>
        <v>17995.6</v>
      </c>
      <c r="I310" s="130">
        <f>I311+I314</f>
        <v>16556.199999999997</v>
      </c>
      <c r="J310" s="166">
        <f t="shared" si="32"/>
        <v>0.9200137811465023</v>
      </c>
      <c r="K310" s="223"/>
      <c r="L310" s="224"/>
    </row>
    <row r="311" spans="1:12" ht="18.75">
      <c r="A311" s="132"/>
      <c r="B311" s="132"/>
      <c r="C311" s="125" t="s">
        <v>173</v>
      </c>
      <c r="D311" s="125" t="s">
        <v>766</v>
      </c>
      <c r="E311" s="123" t="s">
        <v>790</v>
      </c>
      <c r="F311" s="115">
        <f>F312+F313</f>
        <v>16013.3</v>
      </c>
      <c r="G311" s="115">
        <f>G312+G313</f>
        <v>0</v>
      </c>
      <c r="H311" s="115">
        <f>H312+H313</f>
        <v>12465.8</v>
      </c>
      <c r="I311" s="115">
        <f>I312+I313</f>
        <v>12429.599999999999</v>
      </c>
      <c r="J311" s="167">
        <f t="shared" si="32"/>
        <v>0.997096054805949</v>
      </c>
      <c r="K311" s="223"/>
      <c r="L311" s="224"/>
    </row>
    <row r="312" spans="1:12" ht="18.75">
      <c r="A312" s="125"/>
      <c r="B312" s="125"/>
      <c r="C312" s="125"/>
      <c r="D312" s="125" t="s">
        <v>21</v>
      </c>
      <c r="E312" s="124" t="s">
        <v>22</v>
      </c>
      <c r="F312" s="115">
        <v>14013.3</v>
      </c>
      <c r="G312" s="115"/>
      <c r="H312" s="115">
        <v>8750.5</v>
      </c>
      <c r="I312" s="115">
        <v>8739.3</v>
      </c>
      <c r="J312" s="167">
        <f t="shared" si="32"/>
        <v>0.9987200731386777</v>
      </c>
      <c r="K312" s="223"/>
      <c r="L312" s="224"/>
    </row>
    <row r="313" spans="1:12" ht="18.75">
      <c r="A313" s="125"/>
      <c r="B313" s="125"/>
      <c r="C313" s="125"/>
      <c r="D313" s="125" t="s">
        <v>62</v>
      </c>
      <c r="E313" s="124" t="s">
        <v>63</v>
      </c>
      <c r="F313" s="115">
        <v>2000</v>
      </c>
      <c r="G313" s="115"/>
      <c r="H313" s="115">
        <v>3715.3</v>
      </c>
      <c r="I313" s="115">
        <v>3690.3</v>
      </c>
      <c r="J313" s="167">
        <f t="shared" si="32"/>
        <v>0.9932710682851991</v>
      </c>
      <c r="K313" s="223"/>
      <c r="L313" s="224"/>
    </row>
    <row r="314" spans="1:12" ht="18.75">
      <c r="A314" s="132"/>
      <c r="B314" s="132"/>
      <c r="C314" s="125" t="s">
        <v>174</v>
      </c>
      <c r="D314" s="125" t="s">
        <v>766</v>
      </c>
      <c r="E314" s="123" t="s">
        <v>936</v>
      </c>
      <c r="F314" s="115">
        <f>F316+F315</f>
        <v>4677.2</v>
      </c>
      <c r="G314" s="115">
        <f>G316+G315</f>
        <v>0</v>
      </c>
      <c r="H314" s="115">
        <f>H316+H315</f>
        <v>5529.8</v>
      </c>
      <c r="I314" s="115">
        <f>I316+I315</f>
        <v>4126.6</v>
      </c>
      <c r="J314" s="167">
        <f t="shared" si="32"/>
        <v>0.7462476038916417</v>
      </c>
      <c r="K314" s="223"/>
      <c r="L314" s="224"/>
    </row>
    <row r="315" spans="1:12" ht="18.75">
      <c r="A315" s="125"/>
      <c r="B315" s="125"/>
      <c r="C315" s="125"/>
      <c r="D315" s="125" t="s">
        <v>27</v>
      </c>
      <c r="E315" s="124" t="s">
        <v>28</v>
      </c>
      <c r="F315" s="115">
        <v>700</v>
      </c>
      <c r="G315" s="115"/>
      <c r="H315" s="115">
        <f>SUM(F315:G315)</f>
        <v>700</v>
      </c>
      <c r="I315" s="115">
        <v>0</v>
      </c>
      <c r="J315" s="167">
        <f t="shared" si="32"/>
        <v>0</v>
      </c>
      <c r="K315" s="223"/>
      <c r="L315" s="224"/>
    </row>
    <row r="316" spans="1:12" ht="18.75">
      <c r="A316" s="125"/>
      <c r="B316" s="125"/>
      <c r="C316" s="125"/>
      <c r="D316" s="125" t="s">
        <v>21</v>
      </c>
      <c r="E316" s="124" t="s">
        <v>22</v>
      </c>
      <c r="F316" s="115">
        <v>3977.2</v>
      </c>
      <c r="G316" s="115"/>
      <c r="H316" s="115">
        <v>4829.8</v>
      </c>
      <c r="I316" s="115">
        <v>4126.6</v>
      </c>
      <c r="J316" s="167">
        <f t="shared" si="32"/>
        <v>0.8544039090645575</v>
      </c>
      <c r="K316" s="223"/>
      <c r="L316" s="224"/>
    </row>
    <row r="317" spans="1:12" ht="18.75">
      <c r="A317" s="132"/>
      <c r="B317" s="132"/>
      <c r="C317" s="132" t="s">
        <v>175</v>
      </c>
      <c r="D317" s="132"/>
      <c r="E317" s="122" t="s">
        <v>176</v>
      </c>
      <c r="F317" s="130">
        <f>F318+F321+F323</f>
        <v>7007.1</v>
      </c>
      <c r="G317" s="130">
        <f>G318+G321+G323</f>
        <v>0</v>
      </c>
      <c r="H317" s="130">
        <f>H318+H321+H323</f>
        <v>6680.799999999999</v>
      </c>
      <c r="I317" s="130">
        <f>I318+I321+I323</f>
        <v>6419.9</v>
      </c>
      <c r="J317" s="166">
        <f aca="true" t="shared" si="38" ref="J317:J348">I317/H317</f>
        <v>0.9609477906837505</v>
      </c>
      <c r="K317" s="223"/>
      <c r="L317" s="224"/>
    </row>
    <row r="318" spans="1:12" ht="18.75">
      <c r="A318" s="132"/>
      <c r="B318" s="132"/>
      <c r="C318" s="125" t="s">
        <v>177</v>
      </c>
      <c r="D318" s="125" t="s">
        <v>766</v>
      </c>
      <c r="E318" s="123" t="s">
        <v>178</v>
      </c>
      <c r="F318" s="115">
        <f>F319+F320</f>
        <v>3280</v>
      </c>
      <c r="G318" s="115">
        <f>G319+G320</f>
        <v>0</v>
      </c>
      <c r="H318" s="115">
        <f>H319+H320</f>
        <v>3041.1</v>
      </c>
      <c r="I318" s="115">
        <f>I319+I320</f>
        <v>2780.2</v>
      </c>
      <c r="J318" s="167">
        <f t="shared" si="38"/>
        <v>0.9142086744927822</v>
      </c>
      <c r="K318" s="223"/>
      <c r="L318" s="224"/>
    </row>
    <row r="319" spans="1:12" ht="18.75">
      <c r="A319" s="125"/>
      <c r="B319" s="125"/>
      <c r="C319" s="125"/>
      <c r="D319" s="125" t="s">
        <v>27</v>
      </c>
      <c r="E319" s="124" t="s">
        <v>28</v>
      </c>
      <c r="F319" s="115">
        <v>2600</v>
      </c>
      <c r="G319" s="115"/>
      <c r="H319" s="115">
        <v>2361.1</v>
      </c>
      <c r="I319" s="115">
        <v>2361.1</v>
      </c>
      <c r="J319" s="167">
        <f t="shared" si="38"/>
        <v>1</v>
      </c>
      <c r="K319" s="223"/>
      <c r="L319" s="224"/>
    </row>
    <row r="320" spans="1:12" ht="18.75">
      <c r="A320" s="125"/>
      <c r="B320" s="125"/>
      <c r="C320" s="125"/>
      <c r="D320" s="125" t="s">
        <v>21</v>
      </c>
      <c r="E320" s="124" t="s">
        <v>22</v>
      </c>
      <c r="F320" s="115">
        <v>680</v>
      </c>
      <c r="G320" s="115"/>
      <c r="H320" s="115">
        <f>SUM(F320:G320)</f>
        <v>680</v>
      </c>
      <c r="I320" s="115">
        <v>419.1</v>
      </c>
      <c r="J320" s="167">
        <f t="shared" si="38"/>
        <v>0.6163235294117647</v>
      </c>
      <c r="K320" s="223"/>
      <c r="L320" s="224"/>
    </row>
    <row r="321" spans="1:12" ht="18.75">
      <c r="A321" s="132"/>
      <c r="B321" s="132"/>
      <c r="C321" s="125" t="s">
        <v>179</v>
      </c>
      <c r="D321" s="125" t="s">
        <v>766</v>
      </c>
      <c r="E321" s="123" t="s">
        <v>791</v>
      </c>
      <c r="F321" s="115">
        <f>F322</f>
        <v>3527.1</v>
      </c>
      <c r="G321" s="115">
        <f>G322</f>
        <v>0</v>
      </c>
      <c r="H321" s="115">
        <f>H322</f>
        <v>3116.7</v>
      </c>
      <c r="I321" s="115">
        <f>I322</f>
        <v>3116.7</v>
      </c>
      <c r="J321" s="167">
        <f t="shared" si="38"/>
        <v>1</v>
      </c>
      <c r="K321" s="223"/>
      <c r="L321" s="224"/>
    </row>
    <row r="322" spans="1:12" ht="18.75">
      <c r="A322" s="125"/>
      <c r="B322" s="125"/>
      <c r="C322" s="125"/>
      <c r="D322" s="125" t="s">
        <v>21</v>
      </c>
      <c r="E322" s="124" t="s">
        <v>22</v>
      </c>
      <c r="F322" s="115">
        <v>3527.1</v>
      </c>
      <c r="G322" s="115"/>
      <c r="H322" s="115">
        <v>3116.7</v>
      </c>
      <c r="I322" s="115">
        <v>3116.7</v>
      </c>
      <c r="J322" s="167">
        <f t="shared" si="38"/>
        <v>1</v>
      </c>
      <c r="K322" s="223"/>
      <c r="L322" s="224"/>
    </row>
    <row r="323" spans="1:12" ht="37.5">
      <c r="A323" s="125"/>
      <c r="B323" s="125"/>
      <c r="C323" s="125" t="s">
        <v>437</v>
      </c>
      <c r="D323" s="125"/>
      <c r="E323" s="124" t="s">
        <v>436</v>
      </c>
      <c r="F323" s="115">
        <f>F324</f>
        <v>200</v>
      </c>
      <c r="G323" s="115">
        <f>G324</f>
        <v>0</v>
      </c>
      <c r="H323" s="115">
        <f>H324</f>
        <v>523</v>
      </c>
      <c r="I323" s="115">
        <f>I324</f>
        <v>523</v>
      </c>
      <c r="J323" s="167">
        <f t="shared" si="38"/>
        <v>1</v>
      </c>
      <c r="K323" s="223"/>
      <c r="L323" s="224"/>
    </row>
    <row r="324" spans="1:12" ht="18.75">
      <c r="A324" s="125"/>
      <c r="B324" s="125"/>
      <c r="C324" s="125"/>
      <c r="D324" s="125" t="s">
        <v>21</v>
      </c>
      <c r="E324" s="124" t="s">
        <v>22</v>
      </c>
      <c r="F324" s="115">
        <v>200</v>
      </c>
      <c r="G324" s="115"/>
      <c r="H324" s="115">
        <v>523</v>
      </c>
      <c r="I324" s="115">
        <v>523</v>
      </c>
      <c r="J324" s="167">
        <f t="shared" si="38"/>
        <v>1</v>
      </c>
      <c r="K324" s="223"/>
      <c r="L324" s="224"/>
    </row>
    <row r="325" spans="1:12" ht="37.5">
      <c r="A325" s="125"/>
      <c r="B325" s="125"/>
      <c r="C325" s="132" t="s">
        <v>937</v>
      </c>
      <c r="D325" s="132"/>
      <c r="E325" s="134" t="s">
        <v>938</v>
      </c>
      <c r="F325" s="130">
        <f>F332</f>
        <v>3182</v>
      </c>
      <c r="G325" s="130">
        <f>G332</f>
        <v>0</v>
      </c>
      <c r="H325" s="130">
        <f>H332+H326+H335+H338+H340+H330</f>
        <v>52386.04159</v>
      </c>
      <c r="I325" s="130">
        <f>I332+I326+I335+I338+I340+I330</f>
        <v>50659.51488</v>
      </c>
      <c r="J325" s="166">
        <f t="shared" si="38"/>
        <v>0.9670422376343554</v>
      </c>
      <c r="K325" s="223"/>
      <c r="L325" s="224"/>
    </row>
    <row r="326" spans="1:12" ht="41.25" customHeight="1">
      <c r="A326" s="125"/>
      <c r="B326" s="125"/>
      <c r="C326" s="125" t="s">
        <v>939</v>
      </c>
      <c r="D326" s="125" t="s">
        <v>766</v>
      </c>
      <c r="E326" s="123" t="s">
        <v>940</v>
      </c>
      <c r="F326" s="130"/>
      <c r="G326" s="130"/>
      <c r="H326" s="173">
        <f>H329+H328+H327</f>
        <v>19151.80868</v>
      </c>
      <c r="I326" s="173">
        <f>I329+I328+I327</f>
        <v>17425.28197</v>
      </c>
      <c r="J326" s="167">
        <f t="shared" si="38"/>
        <v>0.9098504617058446</v>
      </c>
      <c r="K326" s="223"/>
      <c r="L326" s="224"/>
    </row>
    <row r="327" spans="1:12" ht="20.25" customHeight="1">
      <c r="A327" s="125"/>
      <c r="B327" s="125"/>
      <c r="C327" s="125"/>
      <c r="D327" s="125" t="s">
        <v>27</v>
      </c>
      <c r="E327" s="124" t="s">
        <v>28</v>
      </c>
      <c r="F327" s="130"/>
      <c r="G327" s="130"/>
      <c r="H327" s="173">
        <v>972.59821</v>
      </c>
      <c r="I327" s="173">
        <v>542.84446</v>
      </c>
      <c r="J327" s="167">
        <f t="shared" si="38"/>
        <v>0.5581384526710161</v>
      </c>
      <c r="K327" s="223"/>
      <c r="L327" s="224"/>
    </row>
    <row r="328" spans="1:12" ht="41.25" customHeight="1">
      <c r="A328" s="125"/>
      <c r="B328" s="125"/>
      <c r="C328" s="125"/>
      <c r="D328" s="125" t="s">
        <v>21</v>
      </c>
      <c r="E328" s="124" t="s">
        <v>22</v>
      </c>
      <c r="F328" s="130"/>
      <c r="G328" s="130"/>
      <c r="H328" s="173">
        <v>563.31602</v>
      </c>
      <c r="I328" s="173">
        <v>479.27074</v>
      </c>
      <c r="J328" s="167">
        <f t="shared" si="38"/>
        <v>0.850802609874294</v>
      </c>
      <c r="K328" s="223"/>
      <c r="L328" s="224"/>
    </row>
    <row r="329" spans="1:12" ht="18.75">
      <c r="A329" s="125"/>
      <c r="B329" s="125"/>
      <c r="C329" s="132"/>
      <c r="D329" s="125" t="s">
        <v>62</v>
      </c>
      <c r="E329" s="124" t="s">
        <v>63</v>
      </c>
      <c r="F329" s="130"/>
      <c r="G329" s="130"/>
      <c r="H329" s="173">
        <v>17615.89445</v>
      </c>
      <c r="I329" s="173">
        <v>16403.16677</v>
      </c>
      <c r="J329" s="167">
        <f t="shared" si="38"/>
        <v>0.9311571896935383</v>
      </c>
      <c r="K329" s="223"/>
      <c r="L329" s="224"/>
    </row>
    <row r="330" spans="1:12" ht="18.75">
      <c r="A330" s="125"/>
      <c r="B330" s="125"/>
      <c r="C330" s="125" t="s">
        <v>941</v>
      </c>
      <c r="D330" s="125"/>
      <c r="E330" s="124" t="s">
        <v>942</v>
      </c>
      <c r="F330" s="130"/>
      <c r="G330" s="130"/>
      <c r="H330" s="115">
        <f>H331</f>
        <v>162.3</v>
      </c>
      <c r="I330" s="115">
        <f>I331</f>
        <v>162.3</v>
      </c>
      <c r="J330" s="167">
        <f t="shared" si="38"/>
        <v>1</v>
      </c>
      <c r="K330" s="223"/>
      <c r="L330" s="224"/>
    </row>
    <row r="331" spans="1:12" ht="18.75">
      <c r="A331" s="125"/>
      <c r="B331" s="125"/>
      <c r="C331" s="132"/>
      <c r="D331" s="125" t="s">
        <v>27</v>
      </c>
      <c r="E331" s="124" t="s">
        <v>28</v>
      </c>
      <c r="F331" s="130"/>
      <c r="G331" s="130"/>
      <c r="H331" s="115">
        <v>162.3</v>
      </c>
      <c r="I331" s="115">
        <v>162.3</v>
      </c>
      <c r="J331" s="167">
        <f t="shared" si="38"/>
        <v>1</v>
      </c>
      <c r="K331" s="223"/>
      <c r="L331" s="224"/>
    </row>
    <row r="332" spans="1:12" ht="41.25" customHeight="1">
      <c r="A332" s="125"/>
      <c r="B332" s="125"/>
      <c r="C332" s="125" t="s">
        <v>943</v>
      </c>
      <c r="D332" s="125"/>
      <c r="E332" s="124" t="s">
        <v>944</v>
      </c>
      <c r="F332" s="115">
        <f>F334</f>
        <v>3182</v>
      </c>
      <c r="G332" s="115">
        <f>G334</f>
        <v>0</v>
      </c>
      <c r="H332" s="173">
        <f>H334+H333</f>
        <v>3898.18994</v>
      </c>
      <c r="I332" s="177">
        <f>I334+I333</f>
        <v>3898.18994</v>
      </c>
      <c r="J332" s="167">
        <f t="shared" si="38"/>
        <v>1</v>
      </c>
      <c r="K332" s="223"/>
      <c r="L332" s="224"/>
    </row>
    <row r="333" spans="1:12" ht="38.25" customHeight="1">
      <c r="A333" s="125"/>
      <c r="B333" s="125"/>
      <c r="C333" s="125"/>
      <c r="D333" s="125" t="s">
        <v>21</v>
      </c>
      <c r="E333" s="124" t="s">
        <v>22</v>
      </c>
      <c r="F333" s="115"/>
      <c r="G333" s="115"/>
      <c r="H333" s="173">
        <v>529.18001</v>
      </c>
      <c r="I333" s="173">
        <v>529.18001</v>
      </c>
      <c r="J333" s="167">
        <f t="shared" si="38"/>
        <v>1</v>
      </c>
      <c r="K333" s="223"/>
      <c r="L333" s="224"/>
    </row>
    <row r="334" spans="1:12" ht="18.75">
      <c r="A334" s="125"/>
      <c r="B334" s="125"/>
      <c r="C334" s="125"/>
      <c r="D334" s="125" t="s">
        <v>62</v>
      </c>
      <c r="E334" s="124" t="s">
        <v>63</v>
      </c>
      <c r="F334" s="115">
        <v>3182</v>
      </c>
      <c r="G334" s="115"/>
      <c r="H334" s="173">
        <v>3369.00993</v>
      </c>
      <c r="I334" s="173">
        <v>3369.00993</v>
      </c>
      <c r="J334" s="167">
        <f t="shared" si="38"/>
        <v>1</v>
      </c>
      <c r="K334" s="223"/>
      <c r="L334" s="224"/>
    </row>
    <row r="335" spans="1:12" ht="37.5">
      <c r="A335" s="125"/>
      <c r="B335" s="125"/>
      <c r="C335" s="119" t="s">
        <v>943</v>
      </c>
      <c r="D335" s="119"/>
      <c r="E335" s="120" t="s">
        <v>945</v>
      </c>
      <c r="F335" s="115"/>
      <c r="G335" s="115"/>
      <c r="H335" s="171">
        <f>H337+H336</f>
        <v>22089.74297</v>
      </c>
      <c r="I335" s="171">
        <f>I337+I336</f>
        <v>22089.74297</v>
      </c>
      <c r="J335" s="169">
        <f t="shared" si="38"/>
        <v>1</v>
      </c>
      <c r="K335" s="223"/>
      <c r="L335" s="224"/>
    </row>
    <row r="336" spans="1:12" ht="18.75">
      <c r="A336" s="125"/>
      <c r="B336" s="125"/>
      <c r="C336" s="119"/>
      <c r="D336" s="119" t="s">
        <v>21</v>
      </c>
      <c r="E336" s="120" t="s">
        <v>22</v>
      </c>
      <c r="F336" s="115"/>
      <c r="G336" s="115"/>
      <c r="H336" s="171">
        <v>2998.68669</v>
      </c>
      <c r="I336" s="171">
        <v>2998.68669</v>
      </c>
      <c r="J336" s="169">
        <f t="shared" si="38"/>
        <v>1</v>
      </c>
      <c r="K336" s="223"/>
      <c r="L336" s="224"/>
    </row>
    <row r="337" spans="1:12" ht="18.75">
      <c r="A337" s="125"/>
      <c r="B337" s="125"/>
      <c r="C337" s="125"/>
      <c r="D337" s="119" t="s">
        <v>62</v>
      </c>
      <c r="E337" s="120" t="s">
        <v>63</v>
      </c>
      <c r="F337" s="115"/>
      <c r="G337" s="115"/>
      <c r="H337" s="171">
        <v>19091.05628</v>
      </c>
      <c r="I337" s="172">
        <v>19091.05628</v>
      </c>
      <c r="J337" s="169">
        <f t="shared" si="38"/>
        <v>1</v>
      </c>
      <c r="K337" s="223"/>
      <c r="L337" s="224"/>
    </row>
    <row r="338" spans="1:12" ht="37.5">
      <c r="A338" s="125"/>
      <c r="B338" s="125"/>
      <c r="C338" s="125" t="s">
        <v>946</v>
      </c>
      <c r="D338" s="125"/>
      <c r="E338" s="124" t="s">
        <v>947</v>
      </c>
      <c r="F338" s="115"/>
      <c r="G338" s="115"/>
      <c r="H338" s="115">
        <f>H339</f>
        <v>1062.6</v>
      </c>
      <c r="I338" s="115">
        <f>I339</f>
        <v>1062.6</v>
      </c>
      <c r="J338" s="167">
        <f t="shared" si="38"/>
        <v>1</v>
      </c>
      <c r="K338" s="223"/>
      <c r="L338" s="224"/>
    </row>
    <row r="339" spans="1:12" ht="18.75">
      <c r="A339" s="125"/>
      <c r="B339" s="125"/>
      <c r="C339" s="125"/>
      <c r="D339" s="125" t="s">
        <v>62</v>
      </c>
      <c r="E339" s="124" t="s">
        <v>63</v>
      </c>
      <c r="F339" s="115"/>
      <c r="G339" s="115"/>
      <c r="H339" s="115">
        <v>1062.6</v>
      </c>
      <c r="I339" s="115">
        <v>1062.6</v>
      </c>
      <c r="J339" s="167">
        <f t="shared" si="38"/>
        <v>1</v>
      </c>
      <c r="K339" s="223"/>
      <c r="L339" s="224"/>
    </row>
    <row r="340" spans="1:12" ht="37.5">
      <c r="A340" s="125"/>
      <c r="B340" s="125"/>
      <c r="C340" s="119" t="s">
        <v>946</v>
      </c>
      <c r="D340" s="119"/>
      <c r="E340" s="120" t="s">
        <v>948</v>
      </c>
      <c r="F340" s="115"/>
      <c r="G340" s="115"/>
      <c r="H340" s="131">
        <f>H341</f>
        <v>6021.4</v>
      </c>
      <c r="I340" s="131">
        <f>I341</f>
        <v>6021.4</v>
      </c>
      <c r="J340" s="169">
        <f t="shared" si="38"/>
        <v>1</v>
      </c>
      <c r="K340" s="223"/>
      <c r="L340" s="224"/>
    </row>
    <row r="341" spans="1:12" ht="18.75">
      <c r="A341" s="125"/>
      <c r="B341" s="125"/>
      <c r="C341" s="119"/>
      <c r="D341" s="119" t="s">
        <v>62</v>
      </c>
      <c r="E341" s="120" t="s">
        <v>63</v>
      </c>
      <c r="F341" s="115"/>
      <c r="G341" s="115"/>
      <c r="H341" s="131">
        <v>6021.4</v>
      </c>
      <c r="I341" s="131">
        <v>6021.4</v>
      </c>
      <c r="J341" s="169">
        <f t="shared" si="38"/>
        <v>1</v>
      </c>
      <c r="K341" s="223"/>
      <c r="L341" s="224"/>
    </row>
    <row r="342" spans="1:12" ht="18.75">
      <c r="A342" s="132"/>
      <c r="B342" s="132"/>
      <c r="C342" s="132" t="s">
        <v>189</v>
      </c>
      <c r="D342" s="132" t="s">
        <v>766</v>
      </c>
      <c r="E342" s="122" t="s">
        <v>190</v>
      </c>
      <c r="F342" s="130">
        <f>F343</f>
        <v>23081.4</v>
      </c>
      <c r="G342" s="130">
        <f aca="true" t="shared" si="39" ref="G342:I344">G343</f>
        <v>0</v>
      </c>
      <c r="H342" s="130">
        <f t="shared" si="39"/>
        <v>26833.3</v>
      </c>
      <c r="I342" s="130">
        <f t="shared" si="39"/>
        <v>26833.3</v>
      </c>
      <c r="J342" s="166">
        <f t="shared" si="38"/>
        <v>1</v>
      </c>
      <c r="K342" s="223"/>
      <c r="L342" s="224"/>
    </row>
    <row r="343" spans="1:12" ht="37.5">
      <c r="A343" s="132"/>
      <c r="B343" s="132"/>
      <c r="C343" s="132" t="s">
        <v>191</v>
      </c>
      <c r="D343" s="132"/>
      <c r="E343" s="122" t="s">
        <v>192</v>
      </c>
      <c r="F343" s="130">
        <f>F344</f>
        <v>23081.4</v>
      </c>
      <c r="G343" s="130">
        <f t="shared" si="39"/>
        <v>0</v>
      </c>
      <c r="H343" s="130">
        <f t="shared" si="39"/>
        <v>26833.3</v>
      </c>
      <c r="I343" s="130">
        <f t="shared" si="39"/>
        <v>26833.3</v>
      </c>
      <c r="J343" s="166">
        <f t="shared" si="38"/>
        <v>1</v>
      </c>
      <c r="K343" s="223"/>
      <c r="L343" s="224"/>
    </row>
    <row r="344" spans="1:12" ht="18.75">
      <c r="A344" s="132"/>
      <c r="B344" s="132"/>
      <c r="C344" s="125" t="s">
        <v>194</v>
      </c>
      <c r="D344" s="125" t="s">
        <v>766</v>
      </c>
      <c r="E344" s="123" t="s">
        <v>792</v>
      </c>
      <c r="F344" s="115">
        <f>F345</f>
        <v>23081.4</v>
      </c>
      <c r="G344" s="115">
        <f t="shared" si="39"/>
        <v>0</v>
      </c>
      <c r="H344" s="115">
        <f t="shared" si="39"/>
        <v>26833.3</v>
      </c>
      <c r="I344" s="115">
        <f t="shared" si="39"/>
        <v>26833.3</v>
      </c>
      <c r="J344" s="167">
        <f t="shared" si="38"/>
        <v>1</v>
      </c>
      <c r="K344" s="223"/>
      <c r="L344" s="224"/>
    </row>
    <row r="345" spans="1:12" ht="18.75">
      <c r="A345" s="125"/>
      <c r="B345" s="125"/>
      <c r="C345" s="125"/>
      <c r="D345" s="125" t="s">
        <v>21</v>
      </c>
      <c r="E345" s="124" t="s">
        <v>22</v>
      </c>
      <c r="F345" s="115">
        <v>23081.4</v>
      </c>
      <c r="G345" s="115"/>
      <c r="H345" s="115">
        <v>26833.3</v>
      </c>
      <c r="I345" s="115">
        <v>26833.3</v>
      </c>
      <c r="J345" s="167">
        <f t="shared" si="38"/>
        <v>1</v>
      </c>
      <c r="K345" s="223"/>
      <c r="L345" s="224"/>
    </row>
    <row r="346" spans="1:12" ht="18.75">
      <c r="A346" s="125"/>
      <c r="B346" s="117" t="s">
        <v>368</v>
      </c>
      <c r="C346" s="117"/>
      <c r="D346" s="117"/>
      <c r="E346" s="118" t="s">
        <v>369</v>
      </c>
      <c r="F346" s="130">
        <f>F347</f>
        <v>27925.4</v>
      </c>
      <c r="G346" s="130">
        <f>G347</f>
        <v>0</v>
      </c>
      <c r="H346" s="130">
        <f>H347+H371</f>
        <v>36118.56</v>
      </c>
      <c r="I346" s="130">
        <f>I347+I371</f>
        <v>34577.46</v>
      </c>
      <c r="J346" s="166">
        <f t="shared" si="38"/>
        <v>0.9573321860007709</v>
      </c>
      <c r="K346" s="223"/>
      <c r="L346" s="224"/>
    </row>
    <row r="347" spans="1:12" ht="18.75">
      <c r="A347" s="132"/>
      <c r="B347" s="132"/>
      <c r="C347" s="132" t="s">
        <v>167</v>
      </c>
      <c r="D347" s="132" t="s">
        <v>766</v>
      </c>
      <c r="E347" s="122" t="s">
        <v>168</v>
      </c>
      <c r="F347" s="130">
        <f>F360+F364</f>
        <v>27925.4</v>
      </c>
      <c r="G347" s="130">
        <f>G360+G364</f>
        <v>0</v>
      </c>
      <c r="H347" s="130">
        <f>H360+H364+H349</f>
        <v>35870.36</v>
      </c>
      <c r="I347" s="130">
        <f>I360+I364+I349</f>
        <v>34541.96</v>
      </c>
      <c r="J347" s="166">
        <f t="shared" si="38"/>
        <v>0.9629666387513256</v>
      </c>
      <c r="K347" s="223"/>
      <c r="L347" s="224"/>
    </row>
    <row r="348" spans="1:12" ht="18.75">
      <c r="A348" s="132"/>
      <c r="B348" s="132"/>
      <c r="C348" s="132" t="s">
        <v>169</v>
      </c>
      <c r="D348" s="132" t="s">
        <v>766</v>
      </c>
      <c r="E348" s="122" t="s">
        <v>170</v>
      </c>
      <c r="F348" s="130"/>
      <c r="G348" s="130"/>
      <c r="H348" s="130">
        <f>H349</f>
        <v>8711.96</v>
      </c>
      <c r="I348" s="130">
        <f>I349</f>
        <v>8711.96</v>
      </c>
      <c r="J348" s="166">
        <f t="shared" si="38"/>
        <v>1</v>
      </c>
      <c r="K348" s="223"/>
      <c r="L348" s="224"/>
    </row>
    <row r="349" spans="1:12" ht="37.5">
      <c r="A349" s="132"/>
      <c r="B349" s="132"/>
      <c r="C349" s="132" t="s">
        <v>937</v>
      </c>
      <c r="D349" s="132"/>
      <c r="E349" s="134" t="s">
        <v>938</v>
      </c>
      <c r="F349" s="130"/>
      <c r="G349" s="130"/>
      <c r="H349" s="130">
        <f>H350+H352+H354+H358+H356</f>
        <v>8711.96</v>
      </c>
      <c r="I349" s="130">
        <f>I350+I352+I354+I358+I356</f>
        <v>8711.96</v>
      </c>
      <c r="J349" s="166">
        <f aca="true" t="shared" si="40" ref="J349:J380">I349/H349</f>
        <v>1</v>
      </c>
      <c r="K349" s="223"/>
      <c r="L349" s="224"/>
    </row>
    <row r="350" spans="1:12" ht="18.75">
      <c r="A350" s="132"/>
      <c r="B350" s="132"/>
      <c r="C350" s="125" t="s">
        <v>949</v>
      </c>
      <c r="D350" s="125"/>
      <c r="E350" s="124" t="s">
        <v>1089</v>
      </c>
      <c r="F350" s="130"/>
      <c r="G350" s="130"/>
      <c r="H350" s="115">
        <f>H351</f>
        <v>3556.2</v>
      </c>
      <c r="I350" s="115">
        <f>I351</f>
        <v>3556.2</v>
      </c>
      <c r="J350" s="167">
        <f t="shared" si="40"/>
        <v>1</v>
      </c>
      <c r="K350" s="223"/>
      <c r="L350" s="224"/>
    </row>
    <row r="351" spans="1:12" ht="18.75">
      <c r="A351" s="132"/>
      <c r="B351" s="132"/>
      <c r="C351" s="125"/>
      <c r="D351" s="125" t="s">
        <v>21</v>
      </c>
      <c r="E351" s="124" t="s">
        <v>22</v>
      </c>
      <c r="F351" s="130"/>
      <c r="G351" s="130"/>
      <c r="H351" s="115">
        <v>3556.2</v>
      </c>
      <c r="I351" s="115">
        <v>3556.2</v>
      </c>
      <c r="J351" s="167">
        <f t="shared" si="40"/>
        <v>1</v>
      </c>
      <c r="K351" s="223"/>
      <c r="L351" s="224"/>
    </row>
    <row r="352" spans="1:12" ht="18.75">
      <c r="A352" s="132"/>
      <c r="B352" s="132"/>
      <c r="C352" s="119" t="s">
        <v>949</v>
      </c>
      <c r="D352" s="119"/>
      <c r="E352" s="120" t="s">
        <v>950</v>
      </c>
      <c r="F352" s="178"/>
      <c r="G352" s="178"/>
      <c r="H352" s="131">
        <f>H353</f>
        <v>2494.2</v>
      </c>
      <c r="I352" s="131">
        <f>I353</f>
        <v>2494.2</v>
      </c>
      <c r="J352" s="169">
        <f t="shared" si="40"/>
        <v>1</v>
      </c>
      <c r="K352" s="223"/>
      <c r="L352" s="224"/>
    </row>
    <row r="353" spans="1:12" ht="18.75">
      <c r="A353" s="132"/>
      <c r="B353" s="132"/>
      <c r="C353" s="119"/>
      <c r="D353" s="119" t="s">
        <v>21</v>
      </c>
      <c r="E353" s="120" t="s">
        <v>22</v>
      </c>
      <c r="F353" s="178"/>
      <c r="G353" s="178"/>
      <c r="H353" s="131">
        <v>2494.2</v>
      </c>
      <c r="I353" s="131">
        <v>2494.2</v>
      </c>
      <c r="J353" s="169">
        <f t="shared" si="40"/>
        <v>1</v>
      </c>
      <c r="K353" s="223"/>
      <c r="L353" s="224"/>
    </row>
    <row r="354" spans="1:12" ht="19.5" customHeight="1">
      <c r="A354" s="132"/>
      <c r="B354" s="132"/>
      <c r="C354" s="119" t="s">
        <v>949</v>
      </c>
      <c r="D354" s="119"/>
      <c r="E354" s="120" t="s">
        <v>951</v>
      </c>
      <c r="F354" s="178"/>
      <c r="G354" s="178"/>
      <c r="H354" s="131">
        <f>H355</f>
        <v>922.5</v>
      </c>
      <c r="I354" s="131">
        <f>I355</f>
        <v>922.5</v>
      </c>
      <c r="J354" s="169">
        <f t="shared" si="40"/>
        <v>1</v>
      </c>
      <c r="K354" s="223"/>
      <c r="L354" s="224"/>
    </row>
    <row r="355" spans="1:12" ht="18.75">
      <c r="A355" s="132"/>
      <c r="B355" s="132"/>
      <c r="C355" s="119"/>
      <c r="D355" s="119" t="s">
        <v>21</v>
      </c>
      <c r="E355" s="120" t="s">
        <v>22</v>
      </c>
      <c r="F355" s="178"/>
      <c r="G355" s="178"/>
      <c r="H355" s="131">
        <v>922.5</v>
      </c>
      <c r="I355" s="131">
        <v>922.5</v>
      </c>
      <c r="J355" s="169">
        <f t="shared" si="40"/>
        <v>1</v>
      </c>
      <c r="K355" s="223"/>
      <c r="L355" s="224"/>
    </row>
    <row r="356" spans="1:12" ht="45" customHeight="1">
      <c r="A356" s="132"/>
      <c r="B356" s="132"/>
      <c r="C356" s="125" t="s">
        <v>952</v>
      </c>
      <c r="D356" s="125"/>
      <c r="E356" s="124" t="s">
        <v>953</v>
      </c>
      <c r="F356" s="130"/>
      <c r="G356" s="130"/>
      <c r="H356" s="115">
        <f>H357</f>
        <v>924.1</v>
      </c>
      <c r="I356" s="115">
        <f>I357</f>
        <v>924.1</v>
      </c>
      <c r="J356" s="167">
        <f t="shared" si="40"/>
        <v>1</v>
      </c>
      <c r="K356" s="223"/>
      <c r="L356" s="224"/>
    </row>
    <row r="357" spans="1:12" ht="18.75">
      <c r="A357" s="132"/>
      <c r="B357" s="132"/>
      <c r="C357" s="125"/>
      <c r="D357" s="125" t="s">
        <v>21</v>
      </c>
      <c r="E357" s="124" t="s">
        <v>22</v>
      </c>
      <c r="F357" s="130"/>
      <c r="G357" s="130"/>
      <c r="H357" s="115">
        <v>924.1</v>
      </c>
      <c r="I357" s="115">
        <v>924.1</v>
      </c>
      <c r="J357" s="167">
        <f t="shared" si="40"/>
        <v>1</v>
      </c>
      <c r="K357" s="223"/>
      <c r="L357" s="224"/>
    </row>
    <row r="358" spans="1:12" ht="20.25" customHeight="1">
      <c r="A358" s="132"/>
      <c r="B358" s="132"/>
      <c r="C358" s="119" t="s">
        <v>952</v>
      </c>
      <c r="D358" s="119"/>
      <c r="E358" s="120" t="s">
        <v>954</v>
      </c>
      <c r="F358" s="178"/>
      <c r="G358" s="178"/>
      <c r="H358" s="131">
        <f>H359</f>
        <v>814.96</v>
      </c>
      <c r="I358" s="131">
        <f>I359</f>
        <v>814.96</v>
      </c>
      <c r="J358" s="169">
        <f t="shared" si="40"/>
        <v>1</v>
      </c>
      <c r="K358" s="223"/>
      <c r="L358" s="224"/>
    </row>
    <row r="359" spans="1:12" ht="18.75">
      <c r="A359" s="132"/>
      <c r="B359" s="132"/>
      <c r="C359" s="119"/>
      <c r="D359" s="119" t="s">
        <v>21</v>
      </c>
      <c r="E359" s="120" t="s">
        <v>22</v>
      </c>
      <c r="F359" s="178"/>
      <c r="G359" s="178"/>
      <c r="H359" s="131">
        <v>814.96</v>
      </c>
      <c r="I359" s="131">
        <v>814.96</v>
      </c>
      <c r="J359" s="169">
        <f t="shared" si="40"/>
        <v>1</v>
      </c>
      <c r="K359" s="223"/>
      <c r="L359" s="224"/>
    </row>
    <row r="360" spans="1:12" ht="18.75">
      <c r="A360" s="132"/>
      <c r="B360" s="132"/>
      <c r="C360" s="132" t="s">
        <v>198</v>
      </c>
      <c r="D360" s="132"/>
      <c r="E360" s="122" t="s">
        <v>199</v>
      </c>
      <c r="F360" s="130">
        <f>F361</f>
        <v>9390.6</v>
      </c>
      <c r="G360" s="130">
        <f aca="true" t="shared" si="41" ref="G360:I362">G361</f>
        <v>0</v>
      </c>
      <c r="H360" s="130">
        <f t="shared" si="41"/>
        <v>8603.9</v>
      </c>
      <c r="I360" s="130">
        <f t="shared" si="41"/>
        <v>7276.4</v>
      </c>
      <c r="J360" s="166">
        <f t="shared" si="40"/>
        <v>0.8457095038296586</v>
      </c>
      <c r="K360" s="223"/>
      <c r="L360" s="224"/>
    </row>
    <row r="361" spans="1:12" ht="18.75">
      <c r="A361" s="132"/>
      <c r="B361" s="132"/>
      <c r="C361" s="132" t="s">
        <v>200</v>
      </c>
      <c r="D361" s="132"/>
      <c r="E361" s="122" t="s">
        <v>201</v>
      </c>
      <c r="F361" s="130">
        <f>F362</f>
        <v>9390.6</v>
      </c>
      <c r="G361" s="130">
        <f t="shared" si="41"/>
        <v>0</v>
      </c>
      <c r="H361" s="130">
        <f t="shared" si="41"/>
        <v>8603.9</v>
      </c>
      <c r="I361" s="130">
        <f t="shared" si="41"/>
        <v>7276.4</v>
      </c>
      <c r="J361" s="166">
        <f t="shared" si="40"/>
        <v>0.8457095038296586</v>
      </c>
      <c r="K361" s="223"/>
      <c r="L361" s="224"/>
    </row>
    <row r="362" spans="1:12" ht="18.75">
      <c r="A362" s="132"/>
      <c r="B362" s="132"/>
      <c r="C362" s="125" t="s">
        <v>203</v>
      </c>
      <c r="D362" s="125"/>
      <c r="E362" s="123" t="s">
        <v>784</v>
      </c>
      <c r="F362" s="115">
        <f>F363</f>
        <v>9390.6</v>
      </c>
      <c r="G362" s="115">
        <f t="shared" si="41"/>
        <v>0</v>
      </c>
      <c r="H362" s="115">
        <f t="shared" si="41"/>
        <v>8603.9</v>
      </c>
      <c r="I362" s="115">
        <f t="shared" si="41"/>
        <v>7276.4</v>
      </c>
      <c r="J362" s="167">
        <f t="shared" si="40"/>
        <v>0.8457095038296586</v>
      </c>
      <c r="K362" s="223"/>
      <c r="L362" s="224"/>
    </row>
    <row r="363" spans="1:12" ht="18.75">
      <c r="A363" s="125"/>
      <c r="B363" s="125"/>
      <c r="C363" s="125"/>
      <c r="D363" s="125" t="s">
        <v>27</v>
      </c>
      <c r="E363" s="124" t="s">
        <v>28</v>
      </c>
      <c r="F363" s="115">
        <v>9390.6</v>
      </c>
      <c r="G363" s="115"/>
      <c r="H363" s="115">
        <v>8603.9</v>
      </c>
      <c r="I363" s="115">
        <v>7276.4</v>
      </c>
      <c r="J363" s="167">
        <f t="shared" si="40"/>
        <v>0.8457095038296586</v>
      </c>
      <c r="K363" s="223"/>
      <c r="L363" s="224"/>
    </row>
    <row r="364" spans="1:12" ht="37.5">
      <c r="A364" s="132"/>
      <c r="B364" s="132"/>
      <c r="C364" s="132" t="s">
        <v>217</v>
      </c>
      <c r="D364" s="132" t="s">
        <v>766</v>
      </c>
      <c r="E364" s="122" t="s">
        <v>218</v>
      </c>
      <c r="F364" s="130">
        <f>F365</f>
        <v>18534.8</v>
      </c>
      <c r="G364" s="130">
        <f aca="true" t="shared" si="42" ref="G364:I369">G365</f>
        <v>0</v>
      </c>
      <c r="H364" s="130">
        <f>H365+H368</f>
        <v>18554.5</v>
      </c>
      <c r="I364" s="130">
        <f>I365+I368</f>
        <v>18553.6</v>
      </c>
      <c r="J364" s="166">
        <f t="shared" si="40"/>
        <v>0.9999514942466786</v>
      </c>
      <c r="K364" s="223"/>
      <c r="L364" s="224"/>
    </row>
    <row r="365" spans="1:12" ht="37.5">
      <c r="A365" s="132"/>
      <c r="B365" s="132"/>
      <c r="C365" s="132" t="s">
        <v>219</v>
      </c>
      <c r="D365" s="132"/>
      <c r="E365" s="122" t="s">
        <v>42</v>
      </c>
      <c r="F365" s="130">
        <f>F366</f>
        <v>18534.8</v>
      </c>
      <c r="G365" s="130">
        <f t="shared" si="42"/>
        <v>0</v>
      </c>
      <c r="H365" s="130">
        <f t="shared" si="42"/>
        <v>18534.8</v>
      </c>
      <c r="I365" s="130">
        <f t="shared" si="42"/>
        <v>18534.8</v>
      </c>
      <c r="J365" s="166">
        <f t="shared" si="40"/>
        <v>1</v>
      </c>
      <c r="K365" s="223"/>
      <c r="L365" s="224"/>
    </row>
    <row r="366" spans="1:12" ht="18.75">
      <c r="A366" s="132"/>
      <c r="B366" s="132"/>
      <c r="C366" s="125" t="s">
        <v>222</v>
      </c>
      <c r="D366" s="125" t="s">
        <v>766</v>
      </c>
      <c r="E366" s="123" t="s">
        <v>793</v>
      </c>
      <c r="F366" s="115">
        <f>F367</f>
        <v>18534.8</v>
      </c>
      <c r="G366" s="115">
        <f t="shared" si="42"/>
        <v>0</v>
      </c>
      <c r="H366" s="115">
        <f t="shared" si="42"/>
        <v>18534.8</v>
      </c>
      <c r="I366" s="115">
        <f t="shared" si="42"/>
        <v>18534.8</v>
      </c>
      <c r="J366" s="167">
        <f t="shared" si="40"/>
        <v>1</v>
      </c>
      <c r="K366" s="223"/>
      <c r="L366" s="224"/>
    </row>
    <row r="367" spans="1:12" ht="18.75">
      <c r="A367" s="125"/>
      <c r="B367" s="125"/>
      <c r="C367" s="125"/>
      <c r="D367" s="125" t="s">
        <v>21</v>
      </c>
      <c r="E367" s="124" t="s">
        <v>22</v>
      </c>
      <c r="F367" s="115">
        <v>18534.8</v>
      </c>
      <c r="G367" s="115"/>
      <c r="H367" s="115">
        <v>18534.8</v>
      </c>
      <c r="I367" s="115">
        <v>18534.8</v>
      </c>
      <c r="J367" s="167">
        <f t="shared" si="40"/>
        <v>1</v>
      </c>
      <c r="K367" s="223"/>
      <c r="L367" s="224"/>
    </row>
    <row r="368" spans="1:12" ht="18.75">
      <c r="A368" s="125"/>
      <c r="B368" s="125"/>
      <c r="C368" s="132" t="s">
        <v>445</v>
      </c>
      <c r="D368" s="132"/>
      <c r="E368" s="122" t="s">
        <v>444</v>
      </c>
      <c r="F368" s="115"/>
      <c r="G368" s="115"/>
      <c r="H368" s="130">
        <f t="shared" si="42"/>
        <v>19.7</v>
      </c>
      <c r="I368" s="130">
        <f t="shared" si="42"/>
        <v>18.8</v>
      </c>
      <c r="J368" s="166">
        <f t="shared" si="40"/>
        <v>0.9543147208121828</v>
      </c>
      <c r="K368" s="223"/>
      <c r="L368" s="224"/>
    </row>
    <row r="369" spans="1:12" ht="37.5">
      <c r="A369" s="125"/>
      <c r="B369" s="125"/>
      <c r="C369" s="125" t="s">
        <v>446</v>
      </c>
      <c r="D369" s="125"/>
      <c r="E369" s="123" t="s">
        <v>794</v>
      </c>
      <c r="F369" s="115"/>
      <c r="G369" s="115"/>
      <c r="H369" s="115">
        <f t="shared" si="42"/>
        <v>19.7</v>
      </c>
      <c r="I369" s="115">
        <f t="shared" si="42"/>
        <v>18.8</v>
      </c>
      <c r="J369" s="167">
        <f t="shared" si="40"/>
        <v>0.9543147208121828</v>
      </c>
      <c r="K369" s="223"/>
      <c r="L369" s="224"/>
    </row>
    <row r="370" spans="1:12" ht="18.75">
      <c r="A370" s="125"/>
      <c r="B370" s="125"/>
      <c r="C370" s="125"/>
      <c r="D370" s="125" t="s">
        <v>27</v>
      </c>
      <c r="E370" s="124" t="s">
        <v>28</v>
      </c>
      <c r="F370" s="115"/>
      <c r="G370" s="115"/>
      <c r="H370" s="115">
        <v>19.7</v>
      </c>
      <c r="I370" s="115">
        <v>18.8</v>
      </c>
      <c r="J370" s="167">
        <f t="shared" si="40"/>
        <v>0.9543147208121828</v>
      </c>
      <c r="K370" s="223"/>
      <c r="L370" s="224"/>
    </row>
    <row r="371" spans="1:12" ht="18.75">
      <c r="A371" s="125"/>
      <c r="B371" s="125"/>
      <c r="C371" s="132" t="s">
        <v>255</v>
      </c>
      <c r="D371" s="132" t="s">
        <v>766</v>
      </c>
      <c r="E371" s="122" t="s">
        <v>256</v>
      </c>
      <c r="F371" s="115"/>
      <c r="G371" s="115"/>
      <c r="H371" s="130">
        <f aca="true" t="shared" si="43" ref="H371:I374">H372</f>
        <v>248.2</v>
      </c>
      <c r="I371" s="130">
        <f t="shared" si="43"/>
        <v>35.5</v>
      </c>
      <c r="J371" s="166">
        <f t="shared" si="40"/>
        <v>0.14302981466559228</v>
      </c>
      <c r="K371" s="223"/>
      <c r="L371" s="224"/>
    </row>
    <row r="372" spans="1:12" ht="18.75">
      <c r="A372" s="125"/>
      <c r="B372" s="125"/>
      <c r="C372" s="132" t="s">
        <v>261</v>
      </c>
      <c r="D372" s="132" t="s">
        <v>766</v>
      </c>
      <c r="E372" s="122" t="s">
        <v>262</v>
      </c>
      <c r="F372" s="115"/>
      <c r="G372" s="115"/>
      <c r="H372" s="130">
        <f t="shared" si="43"/>
        <v>248.2</v>
      </c>
      <c r="I372" s="130">
        <f t="shared" si="43"/>
        <v>35.5</v>
      </c>
      <c r="J372" s="166">
        <f t="shared" si="40"/>
        <v>0.14302981466559228</v>
      </c>
      <c r="K372" s="223"/>
      <c r="L372" s="224"/>
    </row>
    <row r="373" spans="1:12" ht="18.75">
      <c r="A373" s="125"/>
      <c r="B373" s="125"/>
      <c r="C373" s="132" t="s">
        <v>265</v>
      </c>
      <c r="D373" s="132"/>
      <c r="E373" s="122" t="s">
        <v>266</v>
      </c>
      <c r="F373" s="115"/>
      <c r="G373" s="115"/>
      <c r="H373" s="130">
        <f t="shared" si="43"/>
        <v>248.2</v>
      </c>
      <c r="I373" s="130">
        <f t="shared" si="43"/>
        <v>35.5</v>
      </c>
      <c r="J373" s="166">
        <f t="shared" si="40"/>
        <v>0.14302981466559228</v>
      </c>
      <c r="K373" s="223"/>
      <c r="L373" s="224"/>
    </row>
    <row r="374" spans="1:12" ht="37.5">
      <c r="A374" s="125"/>
      <c r="B374" s="125"/>
      <c r="C374" s="119" t="s">
        <v>926</v>
      </c>
      <c r="D374" s="119"/>
      <c r="E374" s="120" t="s">
        <v>785</v>
      </c>
      <c r="F374" s="131">
        <f>F375</f>
        <v>273.5</v>
      </c>
      <c r="G374" s="131">
        <f>G375</f>
        <v>0</v>
      </c>
      <c r="H374" s="131">
        <f t="shared" si="43"/>
        <v>248.2</v>
      </c>
      <c r="I374" s="131">
        <f t="shared" si="43"/>
        <v>35.5</v>
      </c>
      <c r="J374" s="169">
        <f t="shared" si="40"/>
        <v>0.14302981466559228</v>
      </c>
      <c r="K374" s="223"/>
      <c r="L374" s="224"/>
    </row>
    <row r="375" spans="1:12" ht="24.75" customHeight="1">
      <c r="A375" s="125"/>
      <c r="B375" s="125"/>
      <c r="C375" s="119"/>
      <c r="D375" s="119" t="s">
        <v>27</v>
      </c>
      <c r="E375" s="120" t="s">
        <v>28</v>
      </c>
      <c r="F375" s="131">
        <v>273.5</v>
      </c>
      <c r="G375" s="131"/>
      <c r="H375" s="131">
        <v>248.2</v>
      </c>
      <c r="I375" s="131">
        <v>35.5</v>
      </c>
      <c r="J375" s="169">
        <f t="shared" si="40"/>
        <v>0.14302981466559228</v>
      </c>
      <c r="K375" s="223"/>
      <c r="L375" s="224"/>
    </row>
    <row r="376" spans="1:12" ht="18.75">
      <c r="A376" s="125"/>
      <c r="B376" s="117" t="s">
        <v>370</v>
      </c>
      <c r="C376" s="117"/>
      <c r="D376" s="117"/>
      <c r="E376" s="118" t="s">
        <v>371</v>
      </c>
      <c r="F376" s="130" t="e">
        <f>F377</f>
        <v>#REF!</v>
      </c>
      <c r="G376" s="130" t="e">
        <f aca="true" t="shared" si="44" ref="G376:I378">G377</f>
        <v>#REF!</v>
      </c>
      <c r="H376" s="130">
        <f t="shared" si="44"/>
        <v>875.9</v>
      </c>
      <c r="I376" s="130">
        <f t="shared" si="44"/>
        <v>875.8</v>
      </c>
      <c r="J376" s="166">
        <f t="shared" si="40"/>
        <v>0.9998858317159492</v>
      </c>
      <c r="K376" s="223"/>
      <c r="L376" s="224"/>
    </row>
    <row r="377" spans="1:12" ht="18.75">
      <c r="A377" s="125"/>
      <c r="B377" s="116" t="s">
        <v>372</v>
      </c>
      <c r="C377" s="117"/>
      <c r="D377" s="117"/>
      <c r="E377" s="118" t="s">
        <v>373</v>
      </c>
      <c r="F377" s="130" t="e">
        <f>F378</f>
        <v>#REF!</v>
      </c>
      <c r="G377" s="130" t="e">
        <f t="shared" si="44"/>
        <v>#REF!</v>
      </c>
      <c r="H377" s="130">
        <f t="shared" si="44"/>
        <v>875.9</v>
      </c>
      <c r="I377" s="130">
        <f t="shared" si="44"/>
        <v>875.8</v>
      </c>
      <c r="J377" s="166">
        <f t="shared" si="40"/>
        <v>0.9998858317159492</v>
      </c>
      <c r="K377" s="223"/>
      <c r="L377" s="224"/>
    </row>
    <row r="378" spans="1:12" ht="42.75" customHeight="1">
      <c r="A378" s="132"/>
      <c r="B378" s="132"/>
      <c r="C378" s="132" t="s">
        <v>102</v>
      </c>
      <c r="D378" s="132" t="s">
        <v>766</v>
      </c>
      <c r="E378" s="122" t="s">
        <v>770</v>
      </c>
      <c r="F378" s="130" t="e">
        <f>F379</f>
        <v>#REF!</v>
      </c>
      <c r="G378" s="130" t="e">
        <f t="shared" si="44"/>
        <v>#REF!</v>
      </c>
      <c r="H378" s="130">
        <f t="shared" si="44"/>
        <v>875.9</v>
      </c>
      <c r="I378" s="130">
        <f t="shared" si="44"/>
        <v>875.8</v>
      </c>
      <c r="J378" s="166">
        <f t="shared" si="40"/>
        <v>0.9998858317159492</v>
      </c>
      <c r="K378" s="223"/>
      <c r="L378" s="224"/>
    </row>
    <row r="379" spans="1:12" ht="18.75">
      <c r="A379" s="132"/>
      <c r="B379" s="132"/>
      <c r="C379" s="132" t="s">
        <v>129</v>
      </c>
      <c r="D379" s="132" t="s">
        <v>766</v>
      </c>
      <c r="E379" s="122" t="s">
        <v>130</v>
      </c>
      <c r="F379" s="130" t="e">
        <f>F380+F385</f>
        <v>#REF!</v>
      </c>
      <c r="G379" s="130" t="e">
        <f>G380+G385</f>
        <v>#REF!</v>
      </c>
      <c r="H379" s="130">
        <f>H380+H385</f>
        <v>875.9</v>
      </c>
      <c r="I379" s="130">
        <f>I380+I385</f>
        <v>875.8</v>
      </c>
      <c r="J379" s="166">
        <f t="shared" si="40"/>
        <v>0.9998858317159492</v>
      </c>
      <c r="K379" s="223"/>
      <c r="L379" s="224"/>
    </row>
    <row r="380" spans="1:12" ht="18.75">
      <c r="A380" s="132"/>
      <c r="B380" s="132"/>
      <c r="C380" s="132" t="s">
        <v>131</v>
      </c>
      <c r="D380" s="132"/>
      <c r="E380" s="122" t="s">
        <v>132</v>
      </c>
      <c r="F380" s="130" t="e">
        <f>#REF!+F383</f>
        <v>#REF!</v>
      </c>
      <c r="G380" s="130" t="e">
        <f>#REF!+G383</f>
        <v>#REF!</v>
      </c>
      <c r="H380" s="130">
        <f>H383+H381</f>
        <v>782.1</v>
      </c>
      <c r="I380" s="130">
        <f>I383+I381</f>
        <v>782</v>
      </c>
      <c r="J380" s="166">
        <f t="shared" si="40"/>
        <v>0.9998721391126454</v>
      </c>
      <c r="K380" s="223"/>
      <c r="L380" s="224"/>
    </row>
    <row r="381" spans="1:12" s="179" customFormat="1" ht="18.75">
      <c r="A381" s="132"/>
      <c r="B381" s="132"/>
      <c r="C381" s="125" t="s">
        <v>135</v>
      </c>
      <c r="D381" s="125" t="s">
        <v>766</v>
      </c>
      <c r="E381" s="123" t="s">
        <v>136</v>
      </c>
      <c r="F381" s="130"/>
      <c r="G381" s="130"/>
      <c r="H381" s="115">
        <f aca="true" t="shared" si="45" ref="H381:I383">H382</f>
        <v>82.5</v>
      </c>
      <c r="I381" s="115">
        <f t="shared" si="45"/>
        <v>82.4</v>
      </c>
      <c r="J381" s="167">
        <f aca="true" t="shared" si="46" ref="J381:J412">I381/H381</f>
        <v>0.9987878787878789</v>
      </c>
      <c r="K381" s="223"/>
      <c r="L381" s="224"/>
    </row>
    <row r="382" spans="1:12" s="179" customFormat="1" ht="18.75">
      <c r="A382" s="132"/>
      <c r="B382" s="132"/>
      <c r="C382" s="125"/>
      <c r="D382" s="125" t="s">
        <v>27</v>
      </c>
      <c r="E382" s="124" t="s">
        <v>28</v>
      </c>
      <c r="F382" s="130"/>
      <c r="G382" s="130"/>
      <c r="H382" s="115">
        <v>82.5</v>
      </c>
      <c r="I382" s="115">
        <v>82.4</v>
      </c>
      <c r="J382" s="167">
        <f t="shared" si="46"/>
        <v>0.9987878787878789</v>
      </c>
      <c r="K382" s="223"/>
      <c r="L382" s="224"/>
    </row>
    <row r="383" spans="1:12" ht="18.75">
      <c r="A383" s="132"/>
      <c r="B383" s="132"/>
      <c r="C383" s="125" t="s">
        <v>795</v>
      </c>
      <c r="D383" s="125"/>
      <c r="E383" s="210" t="s">
        <v>796</v>
      </c>
      <c r="F383" s="115">
        <f>F384</f>
        <v>700</v>
      </c>
      <c r="G383" s="115">
        <f>G384</f>
        <v>0</v>
      </c>
      <c r="H383" s="115">
        <f t="shared" si="45"/>
        <v>699.6</v>
      </c>
      <c r="I383" s="115">
        <f t="shared" si="45"/>
        <v>699.6</v>
      </c>
      <c r="J383" s="167">
        <f t="shared" si="46"/>
        <v>1</v>
      </c>
      <c r="K383" s="223"/>
      <c r="L383" s="224"/>
    </row>
    <row r="384" spans="1:12" ht="18.75">
      <c r="A384" s="125"/>
      <c r="B384" s="125"/>
      <c r="C384" s="125"/>
      <c r="D384" s="125" t="s">
        <v>27</v>
      </c>
      <c r="E384" s="124" t="s">
        <v>28</v>
      </c>
      <c r="F384" s="115">
        <v>700</v>
      </c>
      <c r="G384" s="115"/>
      <c r="H384" s="115">
        <v>699.6</v>
      </c>
      <c r="I384" s="115">
        <v>699.6</v>
      </c>
      <c r="J384" s="167">
        <f t="shared" si="46"/>
        <v>1</v>
      </c>
      <c r="K384" s="223"/>
      <c r="L384" s="224"/>
    </row>
    <row r="385" spans="1:12" ht="18.75">
      <c r="A385" s="132"/>
      <c r="B385" s="132"/>
      <c r="C385" s="132" t="s">
        <v>137</v>
      </c>
      <c r="D385" s="125"/>
      <c r="E385" s="122" t="s">
        <v>138</v>
      </c>
      <c r="F385" s="130">
        <f aca="true" t="shared" si="47" ref="F385:I386">F386</f>
        <v>93.4</v>
      </c>
      <c r="G385" s="130">
        <f t="shared" si="47"/>
        <v>0</v>
      </c>
      <c r="H385" s="130">
        <f t="shared" si="47"/>
        <v>93.8</v>
      </c>
      <c r="I385" s="130">
        <f t="shared" si="47"/>
        <v>93.8</v>
      </c>
      <c r="J385" s="166">
        <f t="shared" si="46"/>
        <v>1</v>
      </c>
      <c r="K385" s="223"/>
      <c r="L385" s="224"/>
    </row>
    <row r="386" spans="1:12" ht="18.75">
      <c r="A386" s="132"/>
      <c r="B386" s="132"/>
      <c r="C386" s="125" t="s">
        <v>139</v>
      </c>
      <c r="D386" s="125" t="s">
        <v>766</v>
      </c>
      <c r="E386" s="123" t="s">
        <v>140</v>
      </c>
      <c r="F386" s="115">
        <f t="shared" si="47"/>
        <v>93.4</v>
      </c>
      <c r="G386" s="115">
        <f t="shared" si="47"/>
        <v>0</v>
      </c>
      <c r="H386" s="115">
        <f t="shared" si="47"/>
        <v>93.8</v>
      </c>
      <c r="I386" s="115">
        <f t="shared" si="47"/>
        <v>93.8</v>
      </c>
      <c r="J386" s="167">
        <f t="shared" si="46"/>
        <v>1</v>
      </c>
      <c r="K386" s="223"/>
      <c r="L386" s="224"/>
    </row>
    <row r="387" spans="1:12" ht="18.75">
      <c r="A387" s="125"/>
      <c r="B387" s="125"/>
      <c r="C387" s="125"/>
      <c r="D387" s="125" t="s">
        <v>27</v>
      </c>
      <c r="E387" s="124" t="s">
        <v>28</v>
      </c>
      <c r="F387" s="115">
        <v>93.4</v>
      </c>
      <c r="G387" s="115"/>
      <c r="H387" s="115">
        <v>93.8</v>
      </c>
      <c r="I387" s="115">
        <v>93.8</v>
      </c>
      <c r="J387" s="167">
        <f t="shared" si="46"/>
        <v>1</v>
      </c>
      <c r="K387" s="223"/>
      <c r="L387" s="224"/>
    </row>
    <row r="388" spans="1:12" ht="18.75">
      <c r="A388" s="125"/>
      <c r="B388" s="117" t="s">
        <v>374</v>
      </c>
      <c r="C388" s="128"/>
      <c r="D388" s="128"/>
      <c r="E388" s="118" t="s">
        <v>375</v>
      </c>
      <c r="F388" s="130">
        <f>F389+F400+F426+F406</f>
        <v>50956.5</v>
      </c>
      <c r="G388" s="130">
        <f>G389+G400+G426+G406</f>
        <v>81702.12003</v>
      </c>
      <c r="H388" s="130">
        <f>H389+H400+H426+H406</f>
        <v>130787.18036999999</v>
      </c>
      <c r="I388" s="130">
        <f>I389+I400+I426+I406</f>
        <v>81234.8008</v>
      </c>
      <c r="J388" s="166">
        <f t="shared" si="46"/>
        <v>0.621122043996857</v>
      </c>
      <c r="K388" s="223"/>
      <c r="L388" s="224"/>
    </row>
    <row r="389" spans="1:12" ht="18.75">
      <c r="A389" s="125"/>
      <c r="B389" s="117" t="s">
        <v>376</v>
      </c>
      <c r="C389" s="117"/>
      <c r="D389" s="117"/>
      <c r="E389" s="118" t="s">
        <v>377</v>
      </c>
      <c r="F389" s="130">
        <f>F390</f>
        <v>35933.2</v>
      </c>
      <c r="G389" s="130">
        <f aca="true" t="shared" si="48" ref="G389:I391">G390</f>
        <v>81702.12003</v>
      </c>
      <c r="H389" s="130">
        <f t="shared" si="48"/>
        <v>117107.38037</v>
      </c>
      <c r="I389" s="130">
        <f t="shared" si="48"/>
        <v>68756.1008</v>
      </c>
      <c r="J389" s="166">
        <f t="shared" si="46"/>
        <v>0.5871201335284382</v>
      </c>
      <c r="K389" s="223"/>
      <c r="L389" s="224"/>
    </row>
    <row r="390" spans="1:12" ht="18.75">
      <c r="A390" s="132"/>
      <c r="B390" s="132"/>
      <c r="C390" s="132" t="s">
        <v>16</v>
      </c>
      <c r="D390" s="132"/>
      <c r="E390" s="122" t="s">
        <v>17</v>
      </c>
      <c r="F390" s="130">
        <f>F391</f>
        <v>35933.2</v>
      </c>
      <c r="G390" s="130">
        <f t="shared" si="48"/>
        <v>81702.12003</v>
      </c>
      <c r="H390" s="130">
        <f t="shared" si="48"/>
        <v>117107.38037</v>
      </c>
      <c r="I390" s="130">
        <f t="shared" si="48"/>
        <v>68756.1008</v>
      </c>
      <c r="J390" s="166">
        <f t="shared" si="46"/>
        <v>0.5871201335284382</v>
      </c>
      <c r="K390" s="223"/>
      <c r="L390" s="224"/>
    </row>
    <row r="391" spans="1:12" ht="18.75">
      <c r="A391" s="132"/>
      <c r="B391" s="132"/>
      <c r="C391" s="132" t="s">
        <v>18</v>
      </c>
      <c r="D391" s="132"/>
      <c r="E391" s="122" t="s">
        <v>19</v>
      </c>
      <c r="F391" s="130">
        <f>F392</f>
        <v>35933.2</v>
      </c>
      <c r="G391" s="130">
        <f t="shared" si="48"/>
        <v>81702.12003</v>
      </c>
      <c r="H391" s="130">
        <f t="shared" si="48"/>
        <v>117107.38037</v>
      </c>
      <c r="I391" s="130">
        <f t="shared" si="48"/>
        <v>68756.1008</v>
      </c>
      <c r="J391" s="166">
        <f t="shared" si="46"/>
        <v>0.5871201335284382</v>
      </c>
      <c r="K391" s="223"/>
      <c r="L391" s="224"/>
    </row>
    <row r="392" spans="1:12" ht="42.75" customHeight="1">
      <c r="A392" s="132"/>
      <c r="B392" s="132"/>
      <c r="C392" s="132" t="s">
        <v>20</v>
      </c>
      <c r="D392" s="132"/>
      <c r="E392" s="122" t="s">
        <v>934</v>
      </c>
      <c r="F392" s="130">
        <f>F395+F393</f>
        <v>35933.2</v>
      </c>
      <c r="G392" s="130">
        <f>G395+G393+G396</f>
        <v>81702.12003</v>
      </c>
      <c r="H392" s="130">
        <f>H395+H393</f>
        <v>117107.38037</v>
      </c>
      <c r="I392" s="130">
        <f>I395+I393</f>
        <v>68756.1008</v>
      </c>
      <c r="J392" s="166">
        <f t="shared" si="46"/>
        <v>0.5871201335284382</v>
      </c>
      <c r="K392" s="223"/>
      <c r="L392" s="224"/>
    </row>
    <row r="393" spans="1:12" ht="31.5" customHeight="1">
      <c r="A393" s="125"/>
      <c r="B393" s="125"/>
      <c r="C393" s="160" t="s">
        <v>955</v>
      </c>
      <c r="D393" s="160"/>
      <c r="E393" s="124" t="s">
        <v>956</v>
      </c>
      <c r="F393" s="115">
        <f>F394</f>
        <v>8000</v>
      </c>
      <c r="G393" s="115">
        <f>G394</f>
        <v>0</v>
      </c>
      <c r="H393" s="115">
        <f>H394</f>
        <v>1400</v>
      </c>
      <c r="I393" s="115">
        <f>I394</f>
        <v>0</v>
      </c>
      <c r="J393" s="167">
        <f t="shared" si="46"/>
        <v>0</v>
      </c>
      <c r="K393" s="223"/>
      <c r="L393" s="224"/>
    </row>
    <row r="394" spans="1:12" ht="18.75">
      <c r="A394" s="125"/>
      <c r="B394" s="125"/>
      <c r="C394" s="160"/>
      <c r="D394" s="125" t="s">
        <v>27</v>
      </c>
      <c r="E394" s="124" t="s">
        <v>28</v>
      </c>
      <c r="F394" s="115">
        <v>8000</v>
      </c>
      <c r="G394" s="115"/>
      <c r="H394" s="115">
        <v>1400</v>
      </c>
      <c r="I394" s="115">
        <v>0</v>
      </c>
      <c r="J394" s="167">
        <f t="shared" si="46"/>
        <v>0</v>
      </c>
      <c r="K394" s="223"/>
      <c r="L394" s="224"/>
    </row>
    <row r="395" spans="1:12" ht="24" customHeight="1">
      <c r="A395" s="132"/>
      <c r="B395" s="132"/>
      <c r="C395" s="128" t="s">
        <v>433</v>
      </c>
      <c r="D395" s="160"/>
      <c r="E395" s="124" t="s">
        <v>423</v>
      </c>
      <c r="F395" s="115">
        <f>F398</f>
        <v>27933.2</v>
      </c>
      <c r="G395" s="115">
        <f>G398</f>
        <v>0</v>
      </c>
      <c r="H395" s="173">
        <f>H398+H396</f>
        <v>115707.38037</v>
      </c>
      <c r="I395" s="173">
        <f>I398+I396</f>
        <v>68756.1008</v>
      </c>
      <c r="J395" s="167">
        <f t="shared" si="46"/>
        <v>0.5942239862326597</v>
      </c>
      <c r="K395" s="223"/>
      <c r="L395" s="224"/>
    </row>
    <row r="396" spans="1:12" ht="76.5" customHeight="1">
      <c r="A396" s="125"/>
      <c r="B396" s="125"/>
      <c r="C396" s="126" t="s">
        <v>957</v>
      </c>
      <c r="D396" s="119"/>
      <c r="E396" s="120" t="s">
        <v>958</v>
      </c>
      <c r="F396" s="131"/>
      <c r="G396" s="171">
        <f>G397</f>
        <v>81702.12003</v>
      </c>
      <c r="H396" s="171">
        <f>H397</f>
        <v>87774.22713</v>
      </c>
      <c r="I396" s="171">
        <f>I397</f>
        <v>41568.44793</v>
      </c>
      <c r="J396" s="169">
        <f t="shared" si="46"/>
        <v>0.47358375333153446</v>
      </c>
      <c r="K396" s="223"/>
      <c r="L396" s="224"/>
    </row>
    <row r="397" spans="1:12" ht="21.75" customHeight="1">
      <c r="A397" s="125"/>
      <c r="B397" s="125"/>
      <c r="C397" s="126"/>
      <c r="D397" s="119" t="s">
        <v>188</v>
      </c>
      <c r="E397" s="120" t="s">
        <v>208</v>
      </c>
      <c r="F397" s="131"/>
      <c r="G397" s="171">
        <v>81702.12003</v>
      </c>
      <c r="H397" s="171">
        <v>87774.22713</v>
      </c>
      <c r="I397" s="171">
        <v>41568.44793</v>
      </c>
      <c r="J397" s="169">
        <f t="shared" si="46"/>
        <v>0.47358375333153446</v>
      </c>
      <c r="K397" s="223"/>
      <c r="L397" s="224"/>
    </row>
    <row r="398" spans="1:12" ht="75" customHeight="1">
      <c r="A398" s="125"/>
      <c r="B398" s="125"/>
      <c r="C398" s="160" t="s">
        <v>957</v>
      </c>
      <c r="D398" s="160"/>
      <c r="E398" s="123" t="s">
        <v>959</v>
      </c>
      <c r="F398" s="115">
        <f>F399</f>
        <v>27933.2</v>
      </c>
      <c r="G398" s="115">
        <f>G399</f>
        <v>0</v>
      </c>
      <c r="H398" s="173">
        <f>H399</f>
        <v>27933.15324</v>
      </c>
      <c r="I398" s="173">
        <f>I399</f>
        <v>27187.65287</v>
      </c>
      <c r="J398" s="167">
        <f t="shared" si="46"/>
        <v>0.9733112705323776</v>
      </c>
      <c r="K398" s="223"/>
      <c r="L398" s="224"/>
    </row>
    <row r="399" spans="1:12" ht="18.75">
      <c r="A399" s="125"/>
      <c r="B399" s="125"/>
      <c r="C399" s="160"/>
      <c r="D399" s="160" t="s">
        <v>188</v>
      </c>
      <c r="E399" s="124" t="s">
        <v>208</v>
      </c>
      <c r="F399" s="115">
        <v>27933.2</v>
      </c>
      <c r="G399" s="173"/>
      <c r="H399" s="173">
        <v>27933.15324</v>
      </c>
      <c r="I399" s="173">
        <v>27187.65287</v>
      </c>
      <c r="J399" s="167">
        <f t="shared" si="46"/>
        <v>0.9733112705323776</v>
      </c>
      <c r="K399" s="223"/>
      <c r="L399" s="224"/>
    </row>
    <row r="400" spans="1:12" ht="18.75">
      <c r="A400" s="125"/>
      <c r="B400" s="132" t="s">
        <v>797</v>
      </c>
      <c r="C400" s="180"/>
      <c r="D400" s="180"/>
      <c r="E400" s="134" t="s">
        <v>798</v>
      </c>
      <c r="F400" s="130">
        <f>F401</f>
        <v>10500</v>
      </c>
      <c r="G400" s="130">
        <f aca="true" t="shared" si="49" ref="G400:I404">G401</f>
        <v>0</v>
      </c>
      <c r="H400" s="130">
        <f t="shared" si="49"/>
        <v>9103.4</v>
      </c>
      <c r="I400" s="130">
        <f t="shared" si="49"/>
        <v>7912.4</v>
      </c>
      <c r="J400" s="166">
        <f t="shared" si="46"/>
        <v>0.8691697607487312</v>
      </c>
      <c r="K400" s="223"/>
      <c r="L400" s="224"/>
    </row>
    <row r="401" spans="1:12" ht="18.75">
      <c r="A401" s="132"/>
      <c r="B401" s="132"/>
      <c r="C401" s="132" t="s">
        <v>16</v>
      </c>
      <c r="D401" s="132" t="s">
        <v>766</v>
      </c>
      <c r="E401" s="122" t="s">
        <v>17</v>
      </c>
      <c r="F401" s="130">
        <f>F402</f>
        <v>10500</v>
      </c>
      <c r="G401" s="130">
        <f t="shared" si="49"/>
        <v>0</v>
      </c>
      <c r="H401" s="130">
        <f t="shared" si="49"/>
        <v>9103.4</v>
      </c>
      <c r="I401" s="130">
        <f t="shared" si="49"/>
        <v>7912.4</v>
      </c>
      <c r="J401" s="166">
        <f t="shared" si="46"/>
        <v>0.8691697607487312</v>
      </c>
      <c r="K401" s="223"/>
      <c r="L401" s="224"/>
    </row>
    <row r="402" spans="1:12" ht="18.75">
      <c r="A402" s="132"/>
      <c r="B402" s="132"/>
      <c r="C402" s="132" t="s">
        <v>18</v>
      </c>
      <c r="D402" s="132" t="s">
        <v>766</v>
      </c>
      <c r="E402" s="122" t="s">
        <v>19</v>
      </c>
      <c r="F402" s="130">
        <f>F403</f>
        <v>10500</v>
      </c>
      <c r="G402" s="130">
        <f t="shared" si="49"/>
        <v>0</v>
      </c>
      <c r="H402" s="130">
        <f t="shared" si="49"/>
        <v>9103.4</v>
      </c>
      <c r="I402" s="130">
        <f t="shared" si="49"/>
        <v>7912.4</v>
      </c>
      <c r="J402" s="166">
        <f t="shared" si="46"/>
        <v>0.8691697607487312</v>
      </c>
      <c r="K402" s="223"/>
      <c r="L402" s="224"/>
    </row>
    <row r="403" spans="1:12" ht="35.25" customHeight="1">
      <c r="A403" s="132"/>
      <c r="B403" s="132"/>
      <c r="C403" s="132" t="s">
        <v>20</v>
      </c>
      <c r="D403" s="132"/>
      <c r="E403" s="122" t="s">
        <v>934</v>
      </c>
      <c r="F403" s="130">
        <f>F404</f>
        <v>10500</v>
      </c>
      <c r="G403" s="130">
        <f t="shared" si="49"/>
        <v>0</v>
      </c>
      <c r="H403" s="130">
        <f t="shared" si="49"/>
        <v>9103.4</v>
      </c>
      <c r="I403" s="130">
        <f t="shared" si="49"/>
        <v>7912.4</v>
      </c>
      <c r="J403" s="166">
        <f t="shared" si="46"/>
        <v>0.8691697607487312</v>
      </c>
      <c r="K403" s="223"/>
      <c r="L403" s="224"/>
    </row>
    <row r="404" spans="1:12" ht="18.75">
      <c r="A404" s="125"/>
      <c r="B404" s="125"/>
      <c r="C404" s="125" t="s">
        <v>26</v>
      </c>
      <c r="D404" s="125" t="s">
        <v>766</v>
      </c>
      <c r="E404" s="123" t="s">
        <v>435</v>
      </c>
      <c r="F404" s="115">
        <f>F405</f>
        <v>10500</v>
      </c>
      <c r="G404" s="115">
        <f t="shared" si="49"/>
        <v>0</v>
      </c>
      <c r="H404" s="115">
        <f t="shared" si="49"/>
        <v>9103.4</v>
      </c>
      <c r="I404" s="115">
        <f t="shared" si="49"/>
        <v>7912.4</v>
      </c>
      <c r="J404" s="167">
        <f t="shared" si="46"/>
        <v>0.8691697607487312</v>
      </c>
      <c r="K404" s="223"/>
      <c r="L404" s="224"/>
    </row>
    <row r="405" spans="1:12" ht="18.75">
      <c r="A405" s="125"/>
      <c r="B405" s="125"/>
      <c r="C405" s="125"/>
      <c r="D405" s="125" t="s">
        <v>27</v>
      </c>
      <c r="E405" s="124" t="s">
        <v>28</v>
      </c>
      <c r="F405" s="115">
        <v>10500</v>
      </c>
      <c r="G405" s="115"/>
      <c r="H405" s="115">
        <v>9103.4</v>
      </c>
      <c r="I405" s="115">
        <v>7912.4</v>
      </c>
      <c r="J405" s="167">
        <f t="shared" si="46"/>
        <v>0.8691697607487312</v>
      </c>
      <c r="K405" s="223"/>
      <c r="L405" s="224"/>
    </row>
    <row r="406" spans="1:12" ht="24.75" customHeight="1">
      <c r="A406" s="125"/>
      <c r="B406" s="132" t="s">
        <v>887</v>
      </c>
      <c r="C406" s="132"/>
      <c r="D406" s="132"/>
      <c r="E406" s="134" t="s">
        <v>888</v>
      </c>
      <c r="F406" s="130">
        <f>F412+F421</f>
        <v>425</v>
      </c>
      <c r="G406" s="130">
        <f>G412+G421</f>
        <v>0</v>
      </c>
      <c r="H406" s="130">
        <f>H412+H421+H407</f>
        <v>410.4</v>
      </c>
      <c r="I406" s="130">
        <f>I412+I421+I407</f>
        <v>400.3</v>
      </c>
      <c r="J406" s="166">
        <f t="shared" si="46"/>
        <v>0.9753898635477584</v>
      </c>
      <c r="K406" s="223"/>
      <c r="L406" s="224"/>
    </row>
    <row r="407" spans="1:12" ht="35.25" customHeight="1">
      <c r="A407" s="125"/>
      <c r="B407" s="132"/>
      <c r="C407" s="132" t="s">
        <v>167</v>
      </c>
      <c r="D407" s="132" t="s">
        <v>766</v>
      </c>
      <c r="E407" s="122" t="s">
        <v>168</v>
      </c>
      <c r="F407" s="130"/>
      <c r="G407" s="130"/>
      <c r="H407" s="130">
        <f aca="true" t="shared" si="50" ref="H407:I410">H408</f>
        <v>15</v>
      </c>
      <c r="I407" s="130">
        <f t="shared" si="50"/>
        <v>15</v>
      </c>
      <c r="J407" s="166">
        <f t="shared" si="46"/>
        <v>1</v>
      </c>
      <c r="K407" s="223"/>
      <c r="L407" s="224"/>
    </row>
    <row r="408" spans="1:12" ht="35.25" customHeight="1">
      <c r="A408" s="125"/>
      <c r="B408" s="132"/>
      <c r="C408" s="132" t="s">
        <v>217</v>
      </c>
      <c r="D408" s="132" t="s">
        <v>766</v>
      </c>
      <c r="E408" s="122" t="s">
        <v>218</v>
      </c>
      <c r="F408" s="130"/>
      <c r="G408" s="130"/>
      <c r="H408" s="130">
        <f t="shared" si="50"/>
        <v>15</v>
      </c>
      <c r="I408" s="130">
        <f t="shared" si="50"/>
        <v>15</v>
      </c>
      <c r="J408" s="166">
        <f t="shared" si="46"/>
        <v>1</v>
      </c>
      <c r="K408" s="223"/>
      <c r="L408" s="224"/>
    </row>
    <row r="409" spans="1:12" ht="35.25" customHeight="1">
      <c r="A409" s="125"/>
      <c r="B409" s="132"/>
      <c r="C409" s="132" t="s">
        <v>219</v>
      </c>
      <c r="D409" s="132"/>
      <c r="E409" s="122" t="s">
        <v>42</v>
      </c>
      <c r="F409" s="130"/>
      <c r="G409" s="130"/>
      <c r="H409" s="130">
        <f t="shared" si="50"/>
        <v>15</v>
      </c>
      <c r="I409" s="130">
        <f t="shared" si="50"/>
        <v>15</v>
      </c>
      <c r="J409" s="166">
        <f t="shared" si="46"/>
        <v>1</v>
      </c>
      <c r="K409" s="223"/>
      <c r="L409" s="224"/>
    </row>
    <row r="410" spans="1:12" ht="24.75" customHeight="1">
      <c r="A410" s="125"/>
      <c r="B410" s="132"/>
      <c r="C410" s="125" t="s">
        <v>221</v>
      </c>
      <c r="D410" s="125" t="s">
        <v>766</v>
      </c>
      <c r="E410" s="123" t="s">
        <v>144</v>
      </c>
      <c r="F410" s="130"/>
      <c r="G410" s="130"/>
      <c r="H410" s="115">
        <f t="shared" si="50"/>
        <v>15</v>
      </c>
      <c r="I410" s="115">
        <f t="shared" si="50"/>
        <v>15</v>
      </c>
      <c r="J410" s="167">
        <f t="shared" si="46"/>
        <v>1</v>
      </c>
      <c r="K410" s="223"/>
      <c r="L410" s="224"/>
    </row>
    <row r="411" spans="1:12" ht="24.75" customHeight="1">
      <c r="A411" s="125"/>
      <c r="B411" s="132"/>
      <c r="C411" s="132"/>
      <c r="D411" s="125" t="s">
        <v>27</v>
      </c>
      <c r="E411" s="124" t="s">
        <v>28</v>
      </c>
      <c r="F411" s="130"/>
      <c r="G411" s="130"/>
      <c r="H411" s="115">
        <v>15</v>
      </c>
      <c r="I411" s="115">
        <v>15</v>
      </c>
      <c r="J411" s="167">
        <f t="shared" si="46"/>
        <v>1</v>
      </c>
      <c r="K411" s="223"/>
      <c r="L411" s="224"/>
    </row>
    <row r="412" spans="1:12" ht="37.5">
      <c r="A412" s="125"/>
      <c r="B412" s="125"/>
      <c r="C412" s="132" t="s">
        <v>269</v>
      </c>
      <c r="D412" s="132" t="s">
        <v>766</v>
      </c>
      <c r="E412" s="122" t="s">
        <v>412</v>
      </c>
      <c r="F412" s="130">
        <f>F413+F417</f>
        <v>389</v>
      </c>
      <c r="G412" s="130">
        <f>G413+G417</f>
        <v>0</v>
      </c>
      <c r="H412" s="130">
        <f>H413+H417</f>
        <v>359.4</v>
      </c>
      <c r="I412" s="130">
        <f>I413+I417</f>
        <v>349.3</v>
      </c>
      <c r="J412" s="166">
        <f t="shared" si="46"/>
        <v>0.9718976071229828</v>
      </c>
      <c r="K412" s="223"/>
      <c r="L412" s="224"/>
    </row>
    <row r="413" spans="1:12" ht="27" customHeight="1">
      <c r="A413" s="125"/>
      <c r="B413" s="125"/>
      <c r="C413" s="132" t="s">
        <v>270</v>
      </c>
      <c r="D413" s="132" t="s">
        <v>766</v>
      </c>
      <c r="E413" s="122" t="s">
        <v>271</v>
      </c>
      <c r="F413" s="130">
        <f>F414</f>
        <v>339</v>
      </c>
      <c r="G413" s="130">
        <f aca="true" t="shared" si="51" ref="G413:I414">G414</f>
        <v>0</v>
      </c>
      <c r="H413" s="130">
        <f t="shared" si="51"/>
        <v>309.4</v>
      </c>
      <c r="I413" s="130">
        <f t="shared" si="51"/>
        <v>308.5</v>
      </c>
      <c r="J413" s="166">
        <f aca="true" t="shared" si="52" ref="J413:J444">I413/H413</f>
        <v>0.9970911441499678</v>
      </c>
      <c r="K413" s="223"/>
      <c r="L413" s="224"/>
    </row>
    <row r="414" spans="1:12" ht="37.5">
      <c r="A414" s="125"/>
      <c r="B414" s="125"/>
      <c r="C414" s="132" t="s">
        <v>272</v>
      </c>
      <c r="D414" s="132"/>
      <c r="E414" s="122" t="s">
        <v>273</v>
      </c>
      <c r="F414" s="130">
        <f>F415</f>
        <v>339</v>
      </c>
      <c r="G414" s="130">
        <f t="shared" si="51"/>
        <v>0</v>
      </c>
      <c r="H414" s="130">
        <f t="shared" si="51"/>
        <v>309.4</v>
      </c>
      <c r="I414" s="130">
        <f t="shared" si="51"/>
        <v>308.5</v>
      </c>
      <c r="J414" s="166">
        <f t="shared" si="52"/>
        <v>0.9970911441499678</v>
      </c>
      <c r="K414" s="223"/>
      <c r="L414" s="224"/>
    </row>
    <row r="415" spans="1:12" ht="18.75">
      <c r="A415" s="125"/>
      <c r="B415" s="125"/>
      <c r="C415" s="125" t="s">
        <v>274</v>
      </c>
      <c r="D415" s="125" t="s">
        <v>766</v>
      </c>
      <c r="E415" s="123" t="s">
        <v>275</v>
      </c>
      <c r="F415" s="115">
        <f>F416</f>
        <v>339</v>
      </c>
      <c r="G415" s="115">
        <f>G416</f>
        <v>0</v>
      </c>
      <c r="H415" s="115">
        <f>H416</f>
        <v>309.4</v>
      </c>
      <c r="I415" s="115">
        <f>I416</f>
        <v>308.5</v>
      </c>
      <c r="J415" s="167">
        <f t="shared" si="52"/>
        <v>0.9970911441499678</v>
      </c>
      <c r="K415" s="223"/>
      <c r="L415" s="224"/>
    </row>
    <row r="416" spans="1:12" ht="18.75">
      <c r="A416" s="125"/>
      <c r="B416" s="125"/>
      <c r="C416" s="125"/>
      <c r="D416" s="125" t="s">
        <v>27</v>
      </c>
      <c r="E416" s="124" t="s">
        <v>28</v>
      </c>
      <c r="F416" s="115">
        <v>339</v>
      </c>
      <c r="G416" s="115"/>
      <c r="H416" s="115">
        <v>309.4</v>
      </c>
      <c r="I416" s="115">
        <v>308.5</v>
      </c>
      <c r="J416" s="167">
        <f t="shared" si="52"/>
        <v>0.9970911441499678</v>
      </c>
      <c r="K416" s="223"/>
      <c r="L416" s="224"/>
    </row>
    <row r="417" spans="1:12" ht="37.5">
      <c r="A417" s="125"/>
      <c r="B417" s="125"/>
      <c r="C417" s="132" t="s">
        <v>276</v>
      </c>
      <c r="D417" s="132" t="s">
        <v>766</v>
      </c>
      <c r="E417" s="122" t="s">
        <v>277</v>
      </c>
      <c r="F417" s="130">
        <f>F418</f>
        <v>50</v>
      </c>
      <c r="G417" s="130">
        <f aca="true" t="shared" si="53" ref="G417:I419">G418</f>
        <v>0</v>
      </c>
      <c r="H417" s="130">
        <f t="shared" si="53"/>
        <v>50</v>
      </c>
      <c r="I417" s="130">
        <f t="shared" si="53"/>
        <v>40.8</v>
      </c>
      <c r="J417" s="166">
        <f t="shared" si="52"/>
        <v>0.816</v>
      </c>
      <c r="K417" s="223"/>
      <c r="L417" s="224"/>
    </row>
    <row r="418" spans="1:12" ht="37.5">
      <c r="A418" s="125"/>
      <c r="B418" s="125"/>
      <c r="C418" s="132" t="s">
        <v>278</v>
      </c>
      <c r="D418" s="132"/>
      <c r="E418" s="122" t="s">
        <v>42</v>
      </c>
      <c r="F418" s="130">
        <f>F419</f>
        <v>50</v>
      </c>
      <c r="G418" s="130">
        <f t="shared" si="53"/>
        <v>0</v>
      </c>
      <c r="H418" s="130">
        <f t="shared" si="53"/>
        <v>50</v>
      </c>
      <c r="I418" s="130">
        <f t="shared" si="53"/>
        <v>40.8</v>
      </c>
      <c r="J418" s="166">
        <f t="shared" si="52"/>
        <v>0.816</v>
      </c>
      <c r="K418" s="223"/>
      <c r="L418" s="224"/>
    </row>
    <row r="419" spans="1:12" ht="18.75">
      <c r="A419" s="125"/>
      <c r="B419" s="125"/>
      <c r="C419" s="125" t="s">
        <v>282</v>
      </c>
      <c r="D419" s="125" t="s">
        <v>766</v>
      </c>
      <c r="E419" s="123" t="s">
        <v>773</v>
      </c>
      <c r="F419" s="115">
        <f>F420</f>
        <v>50</v>
      </c>
      <c r="G419" s="115">
        <f t="shared" si="53"/>
        <v>0</v>
      </c>
      <c r="H419" s="115">
        <f t="shared" si="53"/>
        <v>50</v>
      </c>
      <c r="I419" s="115">
        <f t="shared" si="53"/>
        <v>40.8</v>
      </c>
      <c r="J419" s="167">
        <f t="shared" si="52"/>
        <v>0.816</v>
      </c>
      <c r="K419" s="223"/>
      <c r="L419" s="224"/>
    </row>
    <row r="420" spans="1:12" ht="18.75">
      <c r="A420" s="125"/>
      <c r="B420" s="125"/>
      <c r="C420" s="125"/>
      <c r="D420" s="125" t="s">
        <v>21</v>
      </c>
      <c r="E420" s="124" t="s">
        <v>22</v>
      </c>
      <c r="F420" s="115">
        <v>50</v>
      </c>
      <c r="G420" s="115"/>
      <c r="H420" s="115">
        <f>SUM(F420:G420)</f>
        <v>50</v>
      </c>
      <c r="I420" s="115">
        <v>40.8</v>
      </c>
      <c r="J420" s="167">
        <f t="shared" si="52"/>
        <v>0.816</v>
      </c>
      <c r="K420" s="223"/>
      <c r="L420" s="224"/>
    </row>
    <row r="421" spans="1:12" ht="18.75">
      <c r="A421" s="125"/>
      <c r="B421" s="125"/>
      <c r="C421" s="132" t="s">
        <v>291</v>
      </c>
      <c r="D421" s="132" t="s">
        <v>766</v>
      </c>
      <c r="E421" s="122" t="s">
        <v>292</v>
      </c>
      <c r="F421" s="130">
        <f>F422</f>
        <v>36</v>
      </c>
      <c r="G421" s="130">
        <f aca="true" t="shared" si="54" ref="G421:I424">G422</f>
        <v>0</v>
      </c>
      <c r="H421" s="130">
        <f t="shared" si="54"/>
        <v>36</v>
      </c>
      <c r="I421" s="130">
        <f t="shared" si="54"/>
        <v>36</v>
      </c>
      <c r="J421" s="166">
        <f t="shared" si="52"/>
        <v>1</v>
      </c>
      <c r="K421" s="223"/>
      <c r="L421" s="224"/>
    </row>
    <row r="422" spans="1:12" ht="37.5">
      <c r="A422" s="125"/>
      <c r="B422" s="125"/>
      <c r="C422" s="132" t="s">
        <v>303</v>
      </c>
      <c r="D422" s="132" t="s">
        <v>766</v>
      </c>
      <c r="E422" s="122" t="s">
        <v>304</v>
      </c>
      <c r="F422" s="130">
        <f>F423</f>
        <v>36</v>
      </c>
      <c r="G422" s="130">
        <f t="shared" si="54"/>
        <v>0</v>
      </c>
      <c r="H422" s="130">
        <f t="shared" si="54"/>
        <v>36</v>
      </c>
      <c r="I422" s="130">
        <f t="shared" si="54"/>
        <v>36</v>
      </c>
      <c r="J422" s="166">
        <f t="shared" si="52"/>
        <v>1</v>
      </c>
      <c r="K422" s="223"/>
      <c r="L422" s="224"/>
    </row>
    <row r="423" spans="1:12" ht="37.5">
      <c r="A423" s="125"/>
      <c r="B423" s="125"/>
      <c r="C423" s="132" t="s">
        <v>305</v>
      </c>
      <c r="D423" s="132"/>
      <c r="E423" s="122" t="s">
        <v>42</v>
      </c>
      <c r="F423" s="130">
        <f>F424</f>
        <v>36</v>
      </c>
      <c r="G423" s="130">
        <f t="shared" si="54"/>
        <v>0</v>
      </c>
      <c r="H423" s="130">
        <f t="shared" si="54"/>
        <v>36</v>
      </c>
      <c r="I423" s="130">
        <f t="shared" si="54"/>
        <v>36</v>
      </c>
      <c r="J423" s="166">
        <f t="shared" si="52"/>
        <v>1</v>
      </c>
      <c r="K423" s="223"/>
      <c r="L423" s="224"/>
    </row>
    <row r="424" spans="1:12" ht="18.75">
      <c r="A424" s="125"/>
      <c r="B424" s="125"/>
      <c r="C424" s="125" t="s">
        <v>307</v>
      </c>
      <c r="D424" s="125" t="s">
        <v>766</v>
      </c>
      <c r="E424" s="123" t="s">
        <v>54</v>
      </c>
      <c r="F424" s="115">
        <f>F425</f>
        <v>36</v>
      </c>
      <c r="G424" s="115">
        <f t="shared" si="54"/>
        <v>0</v>
      </c>
      <c r="H424" s="115">
        <f t="shared" si="54"/>
        <v>36</v>
      </c>
      <c r="I424" s="115">
        <f t="shared" si="54"/>
        <v>36</v>
      </c>
      <c r="J424" s="167">
        <f t="shared" si="52"/>
        <v>1</v>
      </c>
      <c r="K424" s="223"/>
      <c r="L424" s="224"/>
    </row>
    <row r="425" spans="1:12" ht="18.75">
      <c r="A425" s="125"/>
      <c r="B425" s="125"/>
      <c r="C425" s="125"/>
      <c r="D425" s="125" t="s">
        <v>21</v>
      </c>
      <c r="E425" s="124" t="s">
        <v>22</v>
      </c>
      <c r="F425" s="115">
        <v>36</v>
      </c>
      <c r="G425" s="115"/>
      <c r="H425" s="115">
        <f>SUM(F425:G425)</f>
        <v>36</v>
      </c>
      <c r="I425" s="115">
        <v>36</v>
      </c>
      <c r="J425" s="167">
        <f t="shared" si="52"/>
        <v>1</v>
      </c>
      <c r="K425" s="223"/>
      <c r="L425" s="224"/>
    </row>
    <row r="426" spans="1:12" ht="30" customHeight="1">
      <c r="A426" s="125"/>
      <c r="B426" s="116" t="s">
        <v>378</v>
      </c>
      <c r="C426" s="117"/>
      <c r="D426" s="117"/>
      <c r="E426" s="118" t="s">
        <v>379</v>
      </c>
      <c r="F426" s="130">
        <f>F427</f>
        <v>4098.3</v>
      </c>
      <c r="G426" s="130">
        <f aca="true" t="shared" si="55" ref="G426:I430">G427</f>
        <v>0</v>
      </c>
      <c r="H426" s="130">
        <f t="shared" si="55"/>
        <v>4166</v>
      </c>
      <c r="I426" s="130">
        <f t="shared" si="55"/>
        <v>4166</v>
      </c>
      <c r="J426" s="166">
        <f t="shared" si="52"/>
        <v>1</v>
      </c>
      <c r="K426" s="223"/>
      <c r="L426" s="224"/>
    </row>
    <row r="427" spans="1:12" ht="18.75">
      <c r="A427" s="132"/>
      <c r="B427" s="132"/>
      <c r="C427" s="132" t="s">
        <v>291</v>
      </c>
      <c r="D427" s="132" t="s">
        <v>766</v>
      </c>
      <c r="E427" s="122" t="s">
        <v>292</v>
      </c>
      <c r="F427" s="130">
        <f>F428</f>
        <v>4098.3</v>
      </c>
      <c r="G427" s="130">
        <f t="shared" si="55"/>
        <v>0</v>
      </c>
      <c r="H427" s="130">
        <f t="shared" si="55"/>
        <v>4166</v>
      </c>
      <c r="I427" s="130">
        <f t="shared" si="55"/>
        <v>4166</v>
      </c>
      <c r="J427" s="166">
        <f t="shared" si="52"/>
        <v>1</v>
      </c>
      <c r="K427" s="223"/>
      <c r="L427" s="224"/>
    </row>
    <row r="428" spans="1:12" ht="37.5">
      <c r="A428" s="132"/>
      <c r="B428" s="132"/>
      <c r="C428" s="132" t="s">
        <v>303</v>
      </c>
      <c r="D428" s="132" t="s">
        <v>766</v>
      </c>
      <c r="E428" s="122" t="s">
        <v>304</v>
      </c>
      <c r="F428" s="130">
        <f>F429</f>
        <v>4098.3</v>
      </c>
      <c r="G428" s="130">
        <f t="shared" si="55"/>
        <v>0</v>
      </c>
      <c r="H428" s="130">
        <f t="shared" si="55"/>
        <v>4166</v>
      </c>
      <c r="I428" s="130">
        <f t="shared" si="55"/>
        <v>4166</v>
      </c>
      <c r="J428" s="166">
        <f t="shared" si="52"/>
        <v>1</v>
      </c>
      <c r="K428" s="223"/>
      <c r="L428" s="224"/>
    </row>
    <row r="429" spans="1:12" ht="37.5">
      <c r="A429" s="132"/>
      <c r="B429" s="132"/>
      <c r="C429" s="132" t="s">
        <v>305</v>
      </c>
      <c r="D429" s="132"/>
      <c r="E429" s="122" t="s">
        <v>42</v>
      </c>
      <c r="F429" s="130">
        <f>F430</f>
        <v>4098.3</v>
      </c>
      <c r="G429" s="130">
        <f t="shared" si="55"/>
        <v>0</v>
      </c>
      <c r="H429" s="130">
        <f t="shared" si="55"/>
        <v>4166</v>
      </c>
      <c r="I429" s="130">
        <f t="shared" si="55"/>
        <v>4166</v>
      </c>
      <c r="J429" s="166">
        <f t="shared" si="52"/>
        <v>1</v>
      </c>
      <c r="K429" s="223"/>
      <c r="L429" s="224"/>
    </row>
    <row r="430" spans="1:12" ht="18.75">
      <c r="A430" s="125"/>
      <c r="B430" s="125"/>
      <c r="C430" s="125" t="s">
        <v>307</v>
      </c>
      <c r="D430" s="125" t="s">
        <v>766</v>
      </c>
      <c r="E430" s="123" t="s">
        <v>54</v>
      </c>
      <c r="F430" s="115">
        <f>F431</f>
        <v>4098.3</v>
      </c>
      <c r="G430" s="115">
        <f t="shared" si="55"/>
        <v>0</v>
      </c>
      <c r="H430" s="115">
        <f t="shared" si="55"/>
        <v>4166</v>
      </c>
      <c r="I430" s="115">
        <f t="shared" si="55"/>
        <v>4166</v>
      </c>
      <c r="J430" s="167">
        <f t="shared" si="52"/>
        <v>1</v>
      </c>
      <c r="K430" s="223"/>
      <c r="L430" s="224"/>
    </row>
    <row r="431" spans="1:12" ht="18.75">
      <c r="A431" s="125"/>
      <c r="B431" s="125"/>
      <c r="C431" s="125"/>
      <c r="D431" s="125" t="s">
        <v>21</v>
      </c>
      <c r="E431" s="124" t="s">
        <v>22</v>
      </c>
      <c r="F431" s="115">
        <f>4134.3-36</f>
        <v>4098.3</v>
      </c>
      <c r="G431" s="115"/>
      <c r="H431" s="115">
        <v>4166</v>
      </c>
      <c r="I431" s="115">
        <v>4166</v>
      </c>
      <c r="J431" s="167">
        <f t="shared" si="52"/>
        <v>1</v>
      </c>
      <c r="K431" s="223"/>
      <c r="L431" s="224"/>
    </row>
    <row r="432" spans="1:12" ht="18.75">
      <c r="A432" s="125"/>
      <c r="B432" s="117" t="s">
        <v>380</v>
      </c>
      <c r="C432" s="117"/>
      <c r="D432" s="117"/>
      <c r="E432" s="118" t="s">
        <v>443</v>
      </c>
      <c r="F432" s="130">
        <f>F439</f>
        <v>250</v>
      </c>
      <c r="G432" s="130">
        <f>G439</f>
        <v>0</v>
      </c>
      <c r="H432" s="130">
        <f>H439+H433</f>
        <v>538.4</v>
      </c>
      <c r="I432" s="130">
        <f>I439+I433</f>
        <v>538.4</v>
      </c>
      <c r="J432" s="166">
        <f t="shared" si="52"/>
        <v>1</v>
      </c>
      <c r="K432" s="223"/>
      <c r="L432" s="224"/>
    </row>
    <row r="433" spans="1:12" ht="18.75">
      <c r="A433" s="125"/>
      <c r="B433" s="117" t="s">
        <v>403</v>
      </c>
      <c r="C433" s="117"/>
      <c r="D433" s="117"/>
      <c r="E433" s="118" t="s">
        <v>404</v>
      </c>
      <c r="F433" s="130"/>
      <c r="G433" s="130"/>
      <c r="H433" s="130">
        <f aca="true" t="shared" si="56" ref="H433:I437">H434</f>
        <v>288.4</v>
      </c>
      <c r="I433" s="130">
        <f t="shared" si="56"/>
        <v>288.4</v>
      </c>
      <c r="J433" s="166">
        <f t="shared" si="52"/>
        <v>1</v>
      </c>
      <c r="K433" s="223"/>
      <c r="L433" s="224"/>
    </row>
    <row r="434" spans="1:12" ht="37.5">
      <c r="A434" s="125"/>
      <c r="B434" s="132"/>
      <c r="C434" s="132" t="s">
        <v>64</v>
      </c>
      <c r="D434" s="132" t="s">
        <v>766</v>
      </c>
      <c r="E434" s="122" t="s">
        <v>434</v>
      </c>
      <c r="F434" s="130"/>
      <c r="G434" s="130"/>
      <c r="H434" s="130">
        <f t="shared" si="56"/>
        <v>288.4</v>
      </c>
      <c r="I434" s="130">
        <f t="shared" si="56"/>
        <v>288.4</v>
      </c>
      <c r="J434" s="166">
        <f t="shared" si="52"/>
        <v>1</v>
      </c>
      <c r="K434" s="223"/>
      <c r="L434" s="224"/>
    </row>
    <row r="435" spans="1:12" ht="18.75">
      <c r="A435" s="125"/>
      <c r="B435" s="132"/>
      <c r="C435" s="117" t="s">
        <v>66</v>
      </c>
      <c r="D435" s="127"/>
      <c r="E435" s="135" t="s">
        <v>67</v>
      </c>
      <c r="F435" s="130"/>
      <c r="G435" s="130"/>
      <c r="H435" s="130">
        <f t="shared" si="56"/>
        <v>288.4</v>
      </c>
      <c r="I435" s="130">
        <f t="shared" si="56"/>
        <v>288.4</v>
      </c>
      <c r="J435" s="166">
        <f t="shared" si="52"/>
        <v>1</v>
      </c>
      <c r="K435" s="223"/>
      <c r="L435" s="224"/>
    </row>
    <row r="436" spans="1:12" ht="18.75">
      <c r="A436" s="125"/>
      <c r="B436" s="132"/>
      <c r="C436" s="117" t="s">
        <v>68</v>
      </c>
      <c r="D436" s="127"/>
      <c r="E436" s="135" t="s">
        <v>69</v>
      </c>
      <c r="F436" s="130"/>
      <c r="G436" s="130"/>
      <c r="H436" s="130">
        <f t="shared" si="56"/>
        <v>288.4</v>
      </c>
      <c r="I436" s="130">
        <f t="shared" si="56"/>
        <v>288.4</v>
      </c>
      <c r="J436" s="166">
        <f t="shared" si="52"/>
        <v>1</v>
      </c>
      <c r="K436" s="223"/>
      <c r="L436" s="224"/>
    </row>
    <row r="437" spans="1:12" ht="18.75">
      <c r="A437" s="125"/>
      <c r="B437" s="132"/>
      <c r="C437" s="127" t="s">
        <v>70</v>
      </c>
      <c r="D437" s="125"/>
      <c r="E437" s="124" t="s">
        <v>71</v>
      </c>
      <c r="F437" s="130"/>
      <c r="G437" s="130"/>
      <c r="H437" s="115">
        <f t="shared" si="56"/>
        <v>288.4</v>
      </c>
      <c r="I437" s="115">
        <f t="shared" si="56"/>
        <v>288.4</v>
      </c>
      <c r="J437" s="167">
        <f t="shared" si="52"/>
        <v>1</v>
      </c>
      <c r="K437" s="223"/>
      <c r="L437" s="224"/>
    </row>
    <row r="438" spans="1:12" ht="18.75">
      <c r="A438" s="125"/>
      <c r="B438" s="125"/>
      <c r="C438" s="125"/>
      <c r="D438" s="125" t="s">
        <v>27</v>
      </c>
      <c r="E438" s="124" t="s">
        <v>28</v>
      </c>
      <c r="F438" s="130"/>
      <c r="G438" s="130"/>
      <c r="H438" s="115">
        <v>288.4</v>
      </c>
      <c r="I438" s="115">
        <v>288.4</v>
      </c>
      <c r="J438" s="167">
        <f t="shared" si="52"/>
        <v>1</v>
      </c>
      <c r="K438" s="223"/>
      <c r="L438" s="224"/>
    </row>
    <row r="439" spans="1:12" ht="18.75">
      <c r="A439" s="125"/>
      <c r="B439" s="116" t="s">
        <v>381</v>
      </c>
      <c r="C439" s="117"/>
      <c r="D439" s="117"/>
      <c r="E439" s="118" t="s">
        <v>382</v>
      </c>
      <c r="F439" s="130">
        <f aca="true" t="shared" si="57" ref="F439:I443">F440</f>
        <v>250</v>
      </c>
      <c r="G439" s="130">
        <f t="shared" si="57"/>
        <v>0</v>
      </c>
      <c r="H439" s="130">
        <f t="shared" si="57"/>
        <v>250</v>
      </c>
      <c r="I439" s="130">
        <f t="shared" si="57"/>
        <v>250</v>
      </c>
      <c r="J439" s="166">
        <f t="shared" si="52"/>
        <v>1</v>
      </c>
      <c r="K439" s="223"/>
      <c r="L439" s="224"/>
    </row>
    <row r="440" spans="1:12" ht="37.5">
      <c r="A440" s="132"/>
      <c r="B440" s="132"/>
      <c r="C440" s="132" t="s">
        <v>64</v>
      </c>
      <c r="D440" s="132" t="s">
        <v>766</v>
      </c>
      <c r="E440" s="122" t="s">
        <v>434</v>
      </c>
      <c r="F440" s="130">
        <f t="shared" si="57"/>
        <v>250</v>
      </c>
      <c r="G440" s="130">
        <f t="shared" si="57"/>
        <v>0</v>
      </c>
      <c r="H440" s="130">
        <f t="shared" si="57"/>
        <v>250</v>
      </c>
      <c r="I440" s="130">
        <f t="shared" si="57"/>
        <v>250</v>
      </c>
      <c r="J440" s="166">
        <f t="shared" si="52"/>
        <v>1</v>
      </c>
      <c r="K440" s="223"/>
      <c r="L440" s="224"/>
    </row>
    <row r="441" spans="1:12" ht="18.75">
      <c r="A441" s="132"/>
      <c r="B441" s="132"/>
      <c r="C441" s="132" t="s">
        <v>66</v>
      </c>
      <c r="D441" s="132" t="s">
        <v>766</v>
      </c>
      <c r="E441" s="122" t="s">
        <v>67</v>
      </c>
      <c r="F441" s="130">
        <f t="shared" si="57"/>
        <v>250</v>
      </c>
      <c r="G441" s="130">
        <f t="shared" si="57"/>
        <v>0</v>
      </c>
      <c r="H441" s="130">
        <f t="shared" si="57"/>
        <v>250</v>
      </c>
      <c r="I441" s="130">
        <f t="shared" si="57"/>
        <v>250</v>
      </c>
      <c r="J441" s="166">
        <f t="shared" si="52"/>
        <v>1</v>
      </c>
      <c r="K441" s="223"/>
      <c r="L441" s="224"/>
    </row>
    <row r="442" spans="1:12" ht="18.75">
      <c r="A442" s="132"/>
      <c r="B442" s="132"/>
      <c r="C442" s="132" t="s">
        <v>68</v>
      </c>
      <c r="D442" s="132"/>
      <c r="E442" s="122" t="s">
        <v>69</v>
      </c>
      <c r="F442" s="130">
        <f t="shared" si="57"/>
        <v>250</v>
      </c>
      <c r="G442" s="130">
        <f t="shared" si="57"/>
        <v>0</v>
      </c>
      <c r="H442" s="130">
        <f t="shared" si="57"/>
        <v>250</v>
      </c>
      <c r="I442" s="130">
        <f t="shared" si="57"/>
        <v>250</v>
      </c>
      <c r="J442" s="166">
        <f t="shared" si="52"/>
        <v>1</v>
      </c>
      <c r="K442" s="223"/>
      <c r="L442" s="224"/>
    </row>
    <row r="443" spans="1:12" ht="18.75">
      <c r="A443" s="132"/>
      <c r="B443" s="132"/>
      <c r="C443" s="125" t="s">
        <v>383</v>
      </c>
      <c r="D443" s="125" t="s">
        <v>766</v>
      </c>
      <c r="E443" s="123" t="s">
        <v>506</v>
      </c>
      <c r="F443" s="115">
        <f t="shared" si="57"/>
        <v>250</v>
      </c>
      <c r="G443" s="115">
        <f t="shared" si="57"/>
        <v>0</v>
      </c>
      <c r="H443" s="115">
        <f t="shared" si="57"/>
        <v>250</v>
      </c>
      <c r="I443" s="115">
        <f t="shared" si="57"/>
        <v>250</v>
      </c>
      <c r="J443" s="167">
        <f t="shared" si="52"/>
        <v>1</v>
      </c>
      <c r="K443" s="223"/>
      <c r="L443" s="224"/>
    </row>
    <row r="444" spans="1:12" ht="18.75">
      <c r="A444" s="125"/>
      <c r="B444" s="125"/>
      <c r="C444" s="125"/>
      <c r="D444" s="125" t="s">
        <v>27</v>
      </c>
      <c r="E444" s="124" t="s">
        <v>28</v>
      </c>
      <c r="F444" s="115">
        <v>250</v>
      </c>
      <c r="G444" s="115"/>
      <c r="H444" s="115">
        <f>SUM(F444:G444)</f>
        <v>250</v>
      </c>
      <c r="I444" s="115">
        <v>250</v>
      </c>
      <c r="J444" s="167">
        <f t="shared" si="52"/>
        <v>1</v>
      </c>
      <c r="K444" s="223"/>
      <c r="L444" s="224"/>
    </row>
    <row r="445" spans="1:12" ht="18.75">
      <c r="A445" s="125"/>
      <c r="B445" s="132" t="s">
        <v>960</v>
      </c>
      <c r="C445" s="125"/>
      <c r="D445" s="125"/>
      <c r="E445" s="134" t="s">
        <v>484</v>
      </c>
      <c r="F445" s="130">
        <f>F446</f>
        <v>1060.3</v>
      </c>
      <c r="G445" s="130">
        <f aca="true" t="shared" si="58" ref="G445:I448">G446</f>
        <v>0</v>
      </c>
      <c r="H445" s="130">
        <f t="shared" si="58"/>
        <v>1060.3</v>
      </c>
      <c r="I445" s="130">
        <f t="shared" si="58"/>
        <v>1047.3</v>
      </c>
      <c r="J445" s="166">
        <f aca="true" t="shared" si="59" ref="J445:J476">I445/H445</f>
        <v>0.9877393190606432</v>
      </c>
      <c r="K445" s="223"/>
      <c r="L445" s="224"/>
    </row>
    <row r="446" spans="1:12" ht="18.75">
      <c r="A446" s="125"/>
      <c r="B446" s="132" t="s">
        <v>961</v>
      </c>
      <c r="C446" s="125"/>
      <c r="D446" s="125"/>
      <c r="E446" s="134" t="s">
        <v>962</v>
      </c>
      <c r="F446" s="130">
        <f>F447</f>
        <v>1060.3</v>
      </c>
      <c r="G446" s="130">
        <f t="shared" si="58"/>
        <v>0</v>
      </c>
      <c r="H446" s="130">
        <f t="shared" si="58"/>
        <v>1060.3</v>
      </c>
      <c r="I446" s="130">
        <f t="shared" si="58"/>
        <v>1047.3</v>
      </c>
      <c r="J446" s="166">
        <f t="shared" si="59"/>
        <v>0.9877393190606432</v>
      </c>
      <c r="K446" s="223"/>
      <c r="L446" s="224"/>
    </row>
    <row r="447" spans="1:12" ht="39" customHeight="1">
      <c r="A447" s="125"/>
      <c r="B447" s="125"/>
      <c r="C447" s="132" t="s">
        <v>102</v>
      </c>
      <c r="D447" s="132" t="s">
        <v>766</v>
      </c>
      <c r="E447" s="122" t="s">
        <v>770</v>
      </c>
      <c r="F447" s="130">
        <f>F448</f>
        <v>1060.3</v>
      </c>
      <c r="G447" s="130">
        <f t="shared" si="58"/>
        <v>0</v>
      </c>
      <c r="H447" s="130">
        <f t="shared" si="58"/>
        <v>1060.3</v>
      </c>
      <c r="I447" s="130">
        <f t="shared" si="58"/>
        <v>1047.3</v>
      </c>
      <c r="J447" s="166">
        <f t="shared" si="59"/>
        <v>0.9877393190606432</v>
      </c>
      <c r="K447" s="223"/>
      <c r="L447" s="224"/>
    </row>
    <row r="448" spans="1:12" ht="18.75">
      <c r="A448" s="125"/>
      <c r="B448" s="125"/>
      <c r="C448" s="132" t="s">
        <v>103</v>
      </c>
      <c r="D448" s="132" t="s">
        <v>766</v>
      </c>
      <c r="E448" s="122" t="s">
        <v>353</v>
      </c>
      <c r="F448" s="130">
        <f>F449</f>
        <v>1060.3</v>
      </c>
      <c r="G448" s="130">
        <f t="shared" si="58"/>
        <v>0</v>
      </c>
      <c r="H448" s="130">
        <f t="shared" si="58"/>
        <v>1060.3</v>
      </c>
      <c r="I448" s="130">
        <f t="shared" si="58"/>
        <v>1047.3</v>
      </c>
      <c r="J448" s="166">
        <f t="shared" si="59"/>
        <v>0.9877393190606432</v>
      </c>
      <c r="K448" s="223"/>
      <c r="L448" s="224"/>
    </row>
    <row r="449" spans="1:12" ht="18.75">
      <c r="A449" s="125"/>
      <c r="B449" s="125"/>
      <c r="C449" s="132" t="s">
        <v>963</v>
      </c>
      <c r="D449" s="132"/>
      <c r="E449" s="122" t="s">
        <v>964</v>
      </c>
      <c r="F449" s="130">
        <f>F452+F454+F450</f>
        <v>1060.3</v>
      </c>
      <c r="G449" s="130">
        <f>G452+G454+G450</f>
        <v>0</v>
      </c>
      <c r="H449" s="130">
        <f>H452+H454+H450</f>
        <v>1060.3</v>
      </c>
      <c r="I449" s="130">
        <f>I452+I454+I450</f>
        <v>1047.3</v>
      </c>
      <c r="J449" s="166">
        <f t="shared" si="59"/>
        <v>0.9877393190606432</v>
      </c>
      <c r="K449" s="223"/>
      <c r="L449" s="224"/>
    </row>
    <row r="450" spans="1:12" ht="18.75">
      <c r="A450" s="132"/>
      <c r="B450" s="132"/>
      <c r="C450" s="125" t="s">
        <v>965</v>
      </c>
      <c r="D450" s="125" t="s">
        <v>766</v>
      </c>
      <c r="E450" s="123" t="s">
        <v>936</v>
      </c>
      <c r="F450" s="115">
        <f>F451</f>
        <v>37</v>
      </c>
      <c r="G450" s="115">
        <f>G451</f>
        <v>0</v>
      </c>
      <c r="H450" s="115">
        <f>H451</f>
        <v>37</v>
      </c>
      <c r="I450" s="115">
        <f>I451</f>
        <v>29.3</v>
      </c>
      <c r="J450" s="167">
        <f t="shared" si="59"/>
        <v>0.7918918918918919</v>
      </c>
      <c r="K450" s="223"/>
      <c r="L450" s="224"/>
    </row>
    <row r="451" spans="1:12" ht="18.75">
      <c r="A451" s="125"/>
      <c r="B451" s="125"/>
      <c r="C451" s="125"/>
      <c r="D451" s="125" t="s">
        <v>21</v>
      </c>
      <c r="E451" s="124" t="s">
        <v>22</v>
      </c>
      <c r="F451" s="115">
        <v>37</v>
      </c>
      <c r="G451" s="115"/>
      <c r="H451" s="115">
        <f>SUM(F451:G451)</f>
        <v>37</v>
      </c>
      <c r="I451" s="115">
        <v>29.3</v>
      </c>
      <c r="J451" s="167">
        <f t="shared" si="59"/>
        <v>0.7918918918918919</v>
      </c>
      <c r="K451" s="223"/>
      <c r="L451" s="224"/>
    </row>
    <row r="452" spans="1:12" s="185" customFormat="1" ht="37.5">
      <c r="A452" s="181"/>
      <c r="B452" s="181"/>
      <c r="C452" s="182" t="s">
        <v>966</v>
      </c>
      <c r="D452" s="183"/>
      <c r="E452" s="184" t="s">
        <v>967</v>
      </c>
      <c r="F452" s="131">
        <f>F453</f>
        <v>944.9</v>
      </c>
      <c r="G452" s="131">
        <f>G453</f>
        <v>0</v>
      </c>
      <c r="H452" s="131">
        <f>H453</f>
        <v>944.9</v>
      </c>
      <c r="I452" s="131">
        <f>I453</f>
        <v>939.6</v>
      </c>
      <c r="J452" s="169">
        <f t="shared" si="59"/>
        <v>0.9943909408403007</v>
      </c>
      <c r="K452" s="223"/>
      <c r="L452" s="224"/>
    </row>
    <row r="453" spans="1:12" s="185" customFormat="1" ht="18.75">
      <c r="A453" s="181"/>
      <c r="B453" s="181"/>
      <c r="C453" s="182"/>
      <c r="D453" s="186" t="s">
        <v>21</v>
      </c>
      <c r="E453" s="187" t="s">
        <v>22</v>
      </c>
      <c r="F453" s="131">
        <v>944.9</v>
      </c>
      <c r="G453" s="131"/>
      <c r="H453" s="131">
        <v>944.9</v>
      </c>
      <c r="I453" s="131">
        <v>939.6</v>
      </c>
      <c r="J453" s="169">
        <f t="shared" si="59"/>
        <v>0.9943909408403007</v>
      </c>
      <c r="K453" s="223"/>
      <c r="L453" s="224"/>
    </row>
    <row r="454" spans="1:12" s="185" customFormat="1" ht="37.5">
      <c r="A454" s="181"/>
      <c r="B454" s="181"/>
      <c r="C454" s="182" t="s">
        <v>968</v>
      </c>
      <c r="D454" s="183"/>
      <c r="E454" s="184" t="s">
        <v>969</v>
      </c>
      <c r="F454" s="131">
        <f>F455</f>
        <v>78.4</v>
      </c>
      <c r="G454" s="131">
        <f>G455</f>
        <v>0</v>
      </c>
      <c r="H454" s="131">
        <f>H455</f>
        <v>78.4</v>
      </c>
      <c r="I454" s="131">
        <f>I455</f>
        <v>78.4</v>
      </c>
      <c r="J454" s="169">
        <f t="shared" si="59"/>
        <v>1</v>
      </c>
      <c r="K454" s="223"/>
      <c r="L454" s="224"/>
    </row>
    <row r="455" spans="1:12" s="185" customFormat="1" ht="18.75">
      <c r="A455" s="181"/>
      <c r="B455" s="181"/>
      <c r="C455" s="183"/>
      <c r="D455" s="186" t="s">
        <v>21</v>
      </c>
      <c r="E455" s="187" t="s">
        <v>22</v>
      </c>
      <c r="F455" s="131">
        <v>78.4</v>
      </c>
      <c r="G455" s="131"/>
      <c r="H455" s="131">
        <v>78.4</v>
      </c>
      <c r="I455" s="131">
        <v>78.4</v>
      </c>
      <c r="J455" s="169">
        <f t="shared" si="59"/>
        <v>1</v>
      </c>
      <c r="K455" s="223"/>
      <c r="L455" s="224"/>
    </row>
    <row r="456" spans="1:12" ht="18.75">
      <c r="A456" s="125"/>
      <c r="B456" s="117" t="s">
        <v>384</v>
      </c>
      <c r="C456" s="117"/>
      <c r="D456" s="117"/>
      <c r="E456" s="118" t="s">
        <v>385</v>
      </c>
      <c r="F456" s="130" t="e">
        <f>F457+F482+F476</f>
        <v>#REF!</v>
      </c>
      <c r="G456" s="130" t="e">
        <f>G457+G482+G476</f>
        <v>#REF!</v>
      </c>
      <c r="H456" s="130">
        <f>H457+H482+H476+H463</f>
        <v>37567.331999999995</v>
      </c>
      <c r="I456" s="130">
        <f>I457+I482+I476+I463</f>
        <v>36115.9</v>
      </c>
      <c r="J456" s="166">
        <f t="shared" si="59"/>
        <v>0.9613645174482981</v>
      </c>
      <c r="K456" s="223"/>
      <c r="L456" s="224"/>
    </row>
    <row r="457" spans="1:12" ht="18.75">
      <c r="A457" s="125"/>
      <c r="B457" s="116" t="s">
        <v>386</v>
      </c>
      <c r="C457" s="117"/>
      <c r="D457" s="117"/>
      <c r="E457" s="118" t="s">
        <v>387</v>
      </c>
      <c r="F457" s="130">
        <f>F458</f>
        <v>8941.2</v>
      </c>
      <c r="G457" s="130">
        <f aca="true" t="shared" si="60" ref="G457:I461">G458</f>
        <v>0</v>
      </c>
      <c r="H457" s="130">
        <f t="shared" si="60"/>
        <v>7641.2</v>
      </c>
      <c r="I457" s="130">
        <f t="shared" si="60"/>
        <v>7618</v>
      </c>
      <c r="J457" s="166">
        <f t="shared" si="59"/>
        <v>0.9969638276710464</v>
      </c>
      <c r="K457" s="223"/>
      <c r="L457" s="224"/>
    </row>
    <row r="458" spans="1:12" ht="37.5">
      <c r="A458" s="132"/>
      <c r="B458" s="132"/>
      <c r="C458" s="132" t="s">
        <v>269</v>
      </c>
      <c r="D458" s="132" t="s">
        <v>766</v>
      </c>
      <c r="E458" s="122" t="s">
        <v>412</v>
      </c>
      <c r="F458" s="130">
        <f>F459</f>
        <v>8941.2</v>
      </c>
      <c r="G458" s="130">
        <f t="shared" si="60"/>
        <v>0</v>
      </c>
      <c r="H458" s="130">
        <f t="shared" si="60"/>
        <v>7641.2</v>
      </c>
      <c r="I458" s="130">
        <f t="shared" si="60"/>
        <v>7618</v>
      </c>
      <c r="J458" s="166">
        <f t="shared" si="59"/>
        <v>0.9969638276710464</v>
      </c>
      <c r="K458" s="223"/>
      <c r="L458" s="224"/>
    </row>
    <row r="459" spans="1:12" ht="37.5">
      <c r="A459" s="132"/>
      <c r="B459" s="132"/>
      <c r="C459" s="132" t="s">
        <v>276</v>
      </c>
      <c r="D459" s="132" t="s">
        <v>766</v>
      </c>
      <c r="E459" s="122" t="s">
        <v>277</v>
      </c>
      <c r="F459" s="130">
        <f>F460</f>
        <v>8941.2</v>
      </c>
      <c r="G459" s="130">
        <f t="shared" si="60"/>
        <v>0</v>
      </c>
      <c r="H459" s="130">
        <f t="shared" si="60"/>
        <v>7641.2</v>
      </c>
      <c r="I459" s="130">
        <f t="shared" si="60"/>
        <v>7618</v>
      </c>
      <c r="J459" s="166">
        <f t="shared" si="59"/>
        <v>0.9969638276710464</v>
      </c>
      <c r="K459" s="223"/>
      <c r="L459" s="224"/>
    </row>
    <row r="460" spans="1:12" ht="37.5">
      <c r="A460" s="132"/>
      <c r="B460" s="132"/>
      <c r="C460" s="132" t="s">
        <v>278</v>
      </c>
      <c r="D460" s="132"/>
      <c r="E460" s="122" t="s">
        <v>42</v>
      </c>
      <c r="F460" s="130">
        <f>F461</f>
        <v>8941.2</v>
      </c>
      <c r="G460" s="130">
        <f t="shared" si="60"/>
        <v>0</v>
      </c>
      <c r="H460" s="130">
        <f t="shared" si="60"/>
        <v>7641.2</v>
      </c>
      <c r="I460" s="130">
        <f t="shared" si="60"/>
        <v>7618</v>
      </c>
      <c r="J460" s="166">
        <f t="shared" si="59"/>
        <v>0.9969638276710464</v>
      </c>
      <c r="K460" s="223"/>
      <c r="L460" s="224"/>
    </row>
    <row r="461" spans="1:12" ht="37.5">
      <c r="A461" s="132"/>
      <c r="B461" s="132"/>
      <c r="C461" s="125" t="s">
        <v>283</v>
      </c>
      <c r="D461" s="125" t="s">
        <v>766</v>
      </c>
      <c r="E461" s="123" t="s">
        <v>449</v>
      </c>
      <c r="F461" s="115">
        <f>F462</f>
        <v>8941.2</v>
      </c>
      <c r="G461" s="115">
        <f t="shared" si="60"/>
        <v>0</v>
      </c>
      <c r="H461" s="115">
        <f t="shared" si="60"/>
        <v>7641.2</v>
      </c>
      <c r="I461" s="115">
        <f t="shared" si="60"/>
        <v>7618</v>
      </c>
      <c r="J461" s="167">
        <f t="shared" si="59"/>
        <v>0.9969638276710464</v>
      </c>
      <c r="K461" s="223"/>
      <c r="L461" s="224"/>
    </row>
    <row r="462" spans="1:12" ht="18.75">
      <c r="A462" s="125"/>
      <c r="B462" s="125"/>
      <c r="C462" s="125"/>
      <c r="D462" s="125" t="s">
        <v>32</v>
      </c>
      <c r="E462" s="124" t="s">
        <v>33</v>
      </c>
      <c r="F462" s="115">
        <v>8941.2</v>
      </c>
      <c r="G462" s="115"/>
      <c r="H462" s="115">
        <v>7641.2</v>
      </c>
      <c r="I462" s="115">
        <v>7618</v>
      </c>
      <c r="J462" s="167">
        <f t="shared" si="59"/>
        <v>0.9969638276710464</v>
      </c>
      <c r="K462" s="223"/>
      <c r="L462" s="224"/>
    </row>
    <row r="463" spans="1:12" ht="18.75">
      <c r="A463" s="125"/>
      <c r="B463" s="117" t="s">
        <v>388</v>
      </c>
      <c r="C463" s="117"/>
      <c r="D463" s="117"/>
      <c r="E463" s="118" t="s">
        <v>389</v>
      </c>
      <c r="F463" s="115"/>
      <c r="G463" s="115"/>
      <c r="H463" s="141">
        <f>H464+H469</f>
        <v>8274.3</v>
      </c>
      <c r="I463" s="141">
        <f>I464+I469</f>
        <v>8230.5</v>
      </c>
      <c r="J463" s="166">
        <f t="shared" si="59"/>
        <v>0.9947065008520359</v>
      </c>
      <c r="K463" s="223"/>
      <c r="L463" s="224"/>
    </row>
    <row r="464" spans="1:12" ht="18.75">
      <c r="A464" s="125"/>
      <c r="B464" s="125"/>
      <c r="C464" s="132" t="s">
        <v>167</v>
      </c>
      <c r="D464" s="132"/>
      <c r="E464" s="134" t="s">
        <v>168</v>
      </c>
      <c r="F464" s="115"/>
      <c r="G464" s="115"/>
      <c r="H464" s="141">
        <f aca="true" t="shared" si="61" ref="H464:I470">H465</f>
        <v>5313.96</v>
      </c>
      <c r="I464" s="141">
        <f t="shared" si="61"/>
        <v>5314</v>
      </c>
      <c r="J464" s="166">
        <f t="shared" si="59"/>
        <v>1.0000075273430737</v>
      </c>
      <c r="K464" s="223"/>
      <c r="L464" s="224"/>
    </row>
    <row r="465" spans="1:12" ht="37.5">
      <c r="A465" s="125"/>
      <c r="B465" s="125"/>
      <c r="C465" s="132" t="s">
        <v>217</v>
      </c>
      <c r="D465" s="132"/>
      <c r="E465" s="134" t="s">
        <v>218</v>
      </c>
      <c r="F465" s="115"/>
      <c r="G465" s="115"/>
      <c r="H465" s="141">
        <f t="shared" si="61"/>
        <v>5313.96</v>
      </c>
      <c r="I465" s="141">
        <f t="shared" si="61"/>
        <v>5314</v>
      </c>
      <c r="J465" s="166">
        <f t="shared" si="59"/>
        <v>1.0000075273430737</v>
      </c>
      <c r="K465" s="223"/>
      <c r="L465" s="224"/>
    </row>
    <row r="466" spans="1:12" ht="18.75">
      <c r="A466" s="125"/>
      <c r="B466" s="125"/>
      <c r="C466" s="132" t="s">
        <v>445</v>
      </c>
      <c r="D466" s="132"/>
      <c r="E466" s="134" t="s">
        <v>444</v>
      </c>
      <c r="F466" s="115"/>
      <c r="G466" s="115"/>
      <c r="H466" s="141">
        <f>H467</f>
        <v>5313.96</v>
      </c>
      <c r="I466" s="141">
        <f t="shared" si="61"/>
        <v>5314</v>
      </c>
      <c r="J466" s="166">
        <f t="shared" si="59"/>
        <v>1.0000075273430737</v>
      </c>
      <c r="K466" s="223"/>
      <c r="L466" s="224"/>
    </row>
    <row r="467" spans="1:12" ht="37.5">
      <c r="A467" s="125"/>
      <c r="B467" s="119"/>
      <c r="C467" s="119" t="s">
        <v>970</v>
      </c>
      <c r="D467" s="119"/>
      <c r="E467" s="120" t="s">
        <v>971</v>
      </c>
      <c r="F467" s="115"/>
      <c r="G467" s="115"/>
      <c r="H467" s="131">
        <f t="shared" si="61"/>
        <v>5313.96</v>
      </c>
      <c r="I467" s="131">
        <f t="shared" si="61"/>
        <v>5314</v>
      </c>
      <c r="J467" s="169">
        <f t="shared" si="59"/>
        <v>1.0000075273430737</v>
      </c>
      <c r="K467" s="223"/>
      <c r="L467" s="224"/>
    </row>
    <row r="468" spans="1:12" ht="18.75">
      <c r="A468" s="125"/>
      <c r="B468" s="119"/>
      <c r="C468" s="119"/>
      <c r="D468" s="119" t="s">
        <v>62</v>
      </c>
      <c r="E468" s="120" t="s">
        <v>63</v>
      </c>
      <c r="F468" s="115"/>
      <c r="G468" s="115"/>
      <c r="H468" s="131">
        <v>5313.96</v>
      </c>
      <c r="I468" s="131">
        <v>5314</v>
      </c>
      <c r="J468" s="169">
        <f t="shared" si="59"/>
        <v>1.0000075273430737</v>
      </c>
      <c r="K468" s="223"/>
      <c r="L468" s="224"/>
    </row>
    <row r="469" spans="1:12" ht="18.75">
      <c r="A469" s="125"/>
      <c r="B469" s="119"/>
      <c r="C469" s="117" t="s">
        <v>255</v>
      </c>
      <c r="D469" s="132"/>
      <c r="E469" s="134" t="s">
        <v>256</v>
      </c>
      <c r="F469" s="115"/>
      <c r="G469" s="115"/>
      <c r="H469" s="141">
        <f>H470</f>
        <v>2960.34</v>
      </c>
      <c r="I469" s="141">
        <f t="shared" si="61"/>
        <v>2916.5</v>
      </c>
      <c r="J469" s="166">
        <f t="shared" si="59"/>
        <v>0.985190890235581</v>
      </c>
      <c r="K469" s="223"/>
      <c r="L469" s="224"/>
    </row>
    <row r="470" spans="1:12" ht="18.75">
      <c r="A470" s="125"/>
      <c r="B470" s="119"/>
      <c r="C470" s="117" t="s">
        <v>261</v>
      </c>
      <c r="D470" s="132"/>
      <c r="E470" s="134" t="s">
        <v>262</v>
      </c>
      <c r="F470" s="115"/>
      <c r="G470" s="115"/>
      <c r="H470" s="141">
        <f>H471</f>
        <v>2960.34</v>
      </c>
      <c r="I470" s="141">
        <f t="shared" si="61"/>
        <v>2916.5</v>
      </c>
      <c r="J470" s="166">
        <f t="shared" si="59"/>
        <v>0.985190890235581</v>
      </c>
      <c r="K470" s="223"/>
      <c r="L470" s="224"/>
    </row>
    <row r="471" spans="1:12" ht="18.75">
      <c r="A471" s="125"/>
      <c r="B471" s="119"/>
      <c r="C471" s="117" t="s">
        <v>265</v>
      </c>
      <c r="D471" s="132"/>
      <c r="E471" s="134" t="s">
        <v>266</v>
      </c>
      <c r="F471" s="115"/>
      <c r="G471" s="115"/>
      <c r="H471" s="141">
        <f>H472+H474</f>
        <v>2960.34</v>
      </c>
      <c r="I471" s="141">
        <f>I472+I474</f>
        <v>2916.5</v>
      </c>
      <c r="J471" s="166">
        <f t="shared" si="59"/>
        <v>0.985190890235581</v>
      </c>
      <c r="K471" s="223"/>
      <c r="L471" s="224"/>
    </row>
    <row r="472" spans="1:12" ht="37.5">
      <c r="A472" s="125"/>
      <c r="B472" s="119"/>
      <c r="C472" s="126" t="s">
        <v>419</v>
      </c>
      <c r="D472" s="119"/>
      <c r="E472" s="120" t="s">
        <v>972</v>
      </c>
      <c r="F472" s="115"/>
      <c r="G472" s="115"/>
      <c r="H472" s="131">
        <f>H473</f>
        <v>729.14</v>
      </c>
      <c r="I472" s="131">
        <f>I473</f>
        <v>729.1</v>
      </c>
      <c r="J472" s="169">
        <f t="shared" si="59"/>
        <v>0.9999451408508655</v>
      </c>
      <c r="K472" s="223"/>
      <c r="L472" s="224"/>
    </row>
    <row r="473" spans="1:12" ht="18.75">
      <c r="A473" s="125"/>
      <c r="B473" s="119"/>
      <c r="C473" s="126"/>
      <c r="D473" s="119" t="s">
        <v>32</v>
      </c>
      <c r="E473" s="120" t="s">
        <v>33</v>
      </c>
      <c r="F473" s="115"/>
      <c r="G473" s="115"/>
      <c r="H473" s="131">
        <v>729.14</v>
      </c>
      <c r="I473" s="131">
        <v>729.1</v>
      </c>
      <c r="J473" s="169">
        <f t="shared" si="59"/>
        <v>0.9999451408508655</v>
      </c>
      <c r="K473" s="223"/>
      <c r="L473" s="224"/>
    </row>
    <row r="474" spans="1:12" ht="41.25" customHeight="1">
      <c r="A474" s="125"/>
      <c r="B474" s="119"/>
      <c r="C474" s="126" t="s">
        <v>973</v>
      </c>
      <c r="D474" s="119"/>
      <c r="E474" s="120" t="s">
        <v>974</v>
      </c>
      <c r="F474" s="115"/>
      <c r="G474" s="115"/>
      <c r="H474" s="131">
        <f>H475</f>
        <v>2231.2000000000003</v>
      </c>
      <c r="I474" s="131">
        <f>I475</f>
        <v>2187.4</v>
      </c>
      <c r="J474" s="169">
        <f t="shared" si="59"/>
        <v>0.9803693079956973</v>
      </c>
      <c r="K474" s="223"/>
      <c r="L474" s="224"/>
    </row>
    <row r="475" spans="1:12" ht="18.75">
      <c r="A475" s="125"/>
      <c r="B475" s="119"/>
      <c r="C475" s="126"/>
      <c r="D475" s="119" t="s">
        <v>32</v>
      </c>
      <c r="E475" s="120" t="s">
        <v>33</v>
      </c>
      <c r="F475" s="115"/>
      <c r="G475" s="115"/>
      <c r="H475" s="131">
        <f>2960.3-729.1</f>
        <v>2231.2000000000003</v>
      </c>
      <c r="I475" s="131">
        <v>2187.4</v>
      </c>
      <c r="J475" s="169">
        <f t="shared" si="59"/>
        <v>0.9803693079956973</v>
      </c>
      <c r="K475" s="223"/>
      <c r="L475" s="224"/>
    </row>
    <row r="476" spans="1:12" ht="18.75">
      <c r="A476" s="125"/>
      <c r="B476" s="139">
        <v>1004</v>
      </c>
      <c r="C476" s="138"/>
      <c r="D476" s="119"/>
      <c r="E476" s="140" t="s">
        <v>400</v>
      </c>
      <c r="F476" s="141" t="e">
        <f aca="true" t="shared" si="62" ref="F476:I480">F477</f>
        <v>#REF!</v>
      </c>
      <c r="G476" s="141" t="e">
        <f t="shared" si="62"/>
        <v>#REF!</v>
      </c>
      <c r="H476" s="141">
        <f t="shared" si="62"/>
        <v>14459.932</v>
      </c>
      <c r="I476" s="141">
        <f t="shared" si="62"/>
        <v>13879.6</v>
      </c>
      <c r="J476" s="166">
        <f t="shared" si="59"/>
        <v>0.9598662013071707</v>
      </c>
      <c r="K476" s="223"/>
      <c r="L476" s="224"/>
    </row>
    <row r="477" spans="1:12" ht="25.5" customHeight="1">
      <c r="A477" s="125"/>
      <c r="B477" s="137"/>
      <c r="C477" s="132" t="s">
        <v>255</v>
      </c>
      <c r="D477" s="132" t="s">
        <v>766</v>
      </c>
      <c r="E477" s="122" t="s">
        <v>256</v>
      </c>
      <c r="F477" s="141" t="e">
        <f t="shared" si="62"/>
        <v>#REF!</v>
      </c>
      <c r="G477" s="141" t="e">
        <f t="shared" si="62"/>
        <v>#REF!</v>
      </c>
      <c r="H477" s="141">
        <f t="shared" si="62"/>
        <v>14459.932</v>
      </c>
      <c r="I477" s="141">
        <f t="shared" si="62"/>
        <v>13879.6</v>
      </c>
      <c r="J477" s="166">
        <f aca="true" t="shared" si="63" ref="J477:J508">I477/H477</f>
        <v>0.9598662013071707</v>
      </c>
      <c r="K477" s="223"/>
      <c r="L477" s="224"/>
    </row>
    <row r="478" spans="1:12" ht="18.75">
      <c r="A478" s="125"/>
      <c r="B478" s="137"/>
      <c r="C478" s="132" t="s">
        <v>261</v>
      </c>
      <c r="D478" s="132" t="s">
        <v>766</v>
      </c>
      <c r="E478" s="122" t="s">
        <v>262</v>
      </c>
      <c r="F478" s="141" t="e">
        <f t="shared" si="62"/>
        <v>#REF!</v>
      </c>
      <c r="G478" s="141" t="e">
        <f t="shared" si="62"/>
        <v>#REF!</v>
      </c>
      <c r="H478" s="141">
        <f t="shared" si="62"/>
        <v>14459.932</v>
      </c>
      <c r="I478" s="141">
        <f t="shared" si="62"/>
        <v>13879.6</v>
      </c>
      <c r="J478" s="166">
        <f t="shared" si="63"/>
        <v>0.9598662013071707</v>
      </c>
      <c r="K478" s="223"/>
      <c r="L478" s="224"/>
    </row>
    <row r="479" spans="1:12" ht="18.75">
      <c r="A479" s="125"/>
      <c r="B479" s="137"/>
      <c r="C479" s="132" t="s">
        <v>265</v>
      </c>
      <c r="D479" s="132"/>
      <c r="E479" s="122" t="s">
        <v>266</v>
      </c>
      <c r="F479" s="141" t="e">
        <f>F480+#REF!</f>
        <v>#REF!</v>
      </c>
      <c r="G479" s="141" t="e">
        <f>G480+#REF!</f>
        <v>#REF!</v>
      </c>
      <c r="H479" s="141">
        <f>H480</f>
        <v>14459.932</v>
      </c>
      <c r="I479" s="141">
        <f t="shared" si="62"/>
        <v>13879.6</v>
      </c>
      <c r="J479" s="166">
        <f t="shared" si="63"/>
        <v>0.9598662013071707</v>
      </c>
      <c r="K479" s="223"/>
      <c r="L479" s="224"/>
    </row>
    <row r="480" spans="1:12" ht="56.25">
      <c r="A480" s="125"/>
      <c r="B480" s="137"/>
      <c r="C480" s="119" t="s">
        <v>975</v>
      </c>
      <c r="D480" s="119"/>
      <c r="E480" s="120" t="s">
        <v>976</v>
      </c>
      <c r="F480" s="131">
        <f t="shared" si="62"/>
        <v>14459.9</v>
      </c>
      <c r="G480" s="131">
        <f t="shared" si="62"/>
        <v>0</v>
      </c>
      <c r="H480" s="131">
        <f t="shared" si="62"/>
        <v>14459.932</v>
      </c>
      <c r="I480" s="131">
        <f t="shared" si="62"/>
        <v>13879.6</v>
      </c>
      <c r="J480" s="169">
        <f t="shared" si="63"/>
        <v>0.9598662013071707</v>
      </c>
      <c r="K480" s="223"/>
      <c r="L480" s="224"/>
    </row>
    <row r="481" spans="1:12" ht="18.75">
      <c r="A481" s="125"/>
      <c r="B481" s="137"/>
      <c r="C481" s="119"/>
      <c r="D481" s="119" t="s">
        <v>188</v>
      </c>
      <c r="E481" s="120" t="s">
        <v>208</v>
      </c>
      <c r="F481" s="131">
        <v>14459.9</v>
      </c>
      <c r="G481" s="131"/>
      <c r="H481" s="131">
        <v>14459.932</v>
      </c>
      <c r="I481" s="131">
        <v>13879.6</v>
      </c>
      <c r="J481" s="169">
        <f t="shared" si="63"/>
        <v>0.9598662013071707</v>
      </c>
      <c r="K481" s="223"/>
      <c r="L481" s="224"/>
    </row>
    <row r="482" spans="1:12" ht="18.75">
      <c r="A482" s="125"/>
      <c r="B482" s="116">
        <v>1006</v>
      </c>
      <c r="C482" s="117"/>
      <c r="D482" s="117"/>
      <c r="E482" s="118" t="s">
        <v>390</v>
      </c>
      <c r="F482" s="130" t="e">
        <f>F483+F497</f>
        <v>#REF!</v>
      </c>
      <c r="G482" s="130" t="e">
        <f>G483+G497</f>
        <v>#REF!</v>
      </c>
      <c r="H482" s="130">
        <f>H483+H497</f>
        <v>7191.9</v>
      </c>
      <c r="I482" s="130">
        <f>I483+I497</f>
        <v>6387.799999999999</v>
      </c>
      <c r="J482" s="166">
        <f t="shared" si="63"/>
        <v>0.8881936623145482</v>
      </c>
      <c r="K482" s="223"/>
      <c r="L482" s="224"/>
    </row>
    <row r="483" spans="1:12" ht="18.75">
      <c r="A483" s="132"/>
      <c r="B483" s="132"/>
      <c r="C483" s="132" t="s">
        <v>239</v>
      </c>
      <c r="D483" s="132" t="s">
        <v>766</v>
      </c>
      <c r="E483" s="122" t="s">
        <v>240</v>
      </c>
      <c r="F483" s="130">
        <f>F484+F490</f>
        <v>3759</v>
      </c>
      <c r="G483" s="130">
        <f>G484+G490</f>
        <v>0</v>
      </c>
      <c r="H483" s="130">
        <f>H484+H490</f>
        <v>4060.8999999999996</v>
      </c>
      <c r="I483" s="130">
        <f>I484+I490</f>
        <v>3898.3999999999996</v>
      </c>
      <c r="J483" s="166">
        <f t="shared" si="63"/>
        <v>0.9599842399468098</v>
      </c>
      <c r="K483" s="223"/>
      <c r="L483" s="224"/>
    </row>
    <row r="484" spans="1:12" ht="37.5">
      <c r="A484" s="132"/>
      <c r="B484" s="132"/>
      <c r="C484" s="132" t="s">
        <v>245</v>
      </c>
      <c r="D484" s="132" t="s">
        <v>766</v>
      </c>
      <c r="E484" s="122" t="s">
        <v>452</v>
      </c>
      <c r="F484" s="130">
        <f>F485</f>
        <v>1990.7</v>
      </c>
      <c r="G484" s="130">
        <f>G485</f>
        <v>0</v>
      </c>
      <c r="H484" s="130">
        <f>H485</f>
        <v>1990.7</v>
      </c>
      <c r="I484" s="130">
        <f>I485</f>
        <v>1990.7</v>
      </c>
      <c r="J484" s="166">
        <f t="shared" si="63"/>
        <v>1</v>
      </c>
      <c r="K484" s="223"/>
      <c r="L484" s="224"/>
    </row>
    <row r="485" spans="1:12" ht="18.75">
      <c r="A485" s="132"/>
      <c r="B485" s="132"/>
      <c r="C485" s="132" t="s">
        <v>246</v>
      </c>
      <c r="D485" s="132"/>
      <c r="E485" s="122" t="s">
        <v>247</v>
      </c>
      <c r="F485" s="130">
        <f>F486+F488</f>
        <v>1990.7</v>
      </c>
      <c r="G485" s="130">
        <f>G486+G488</f>
        <v>0</v>
      </c>
      <c r="H485" s="130">
        <f>H486+H488</f>
        <v>1990.7</v>
      </c>
      <c r="I485" s="130">
        <f>I486+I488</f>
        <v>1990.7</v>
      </c>
      <c r="J485" s="166">
        <f t="shared" si="63"/>
        <v>1</v>
      </c>
      <c r="K485" s="223"/>
      <c r="L485" s="224"/>
    </row>
    <row r="486" spans="1:12" ht="27.75" customHeight="1">
      <c r="A486" s="132"/>
      <c r="B486" s="132"/>
      <c r="C486" s="125" t="s">
        <v>248</v>
      </c>
      <c r="D486" s="125" t="s">
        <v>766</v>
      </c>
      <c r="E486" s="123" t="s">
        <v>249</v>
      </c>
      <c r="F486" s="115">
        <f>F487</f>
        <v>787.7</v>
      </c>
      <c r="G486" s="115">
        <f>G487</f>
        <v>0</v>
      </c>
      <c r="H486" s="115">
        <f>H487</f>
        <v>787.7</v>
      </c>
      <c r="I486" s="115">
        <f>I487</f>
        <v>787.7</v>
      </c>
      <c r="J486" s="167">
        <f t="shared" si="63"/>
        <v>1</v>
      </c>
      <c r="K486" s="223"/>
      <c r="L486" s="224"/>
    </row>
    <row r="487" spans="1:12" ht="18.75">
      <c r="A487" s="125"/>
      <c r="B487" s="125"/>
      <c r="C487" s="125"/>
      <c r="D487" s="125" t="s">
        <v>21</v>
      </c>
      <c r="E487" s="124" t="s">
        <v>22</v>
      </c>
      <c r="F487" s="115">
        <v>787.7</v>
      </c>
      <c r="G487" s="115"/>
      <c r="H487" s="115">
        <f>SUM(F487:G487)</f>
        <v>787.7</v>
      </c>
      <c r="I487" s="115">
        <v>787.7</v>
      </c>
      <c r="J487" s="167">
        <f t="shared" si="63"/>
        <v>1</v>
      </c>
      <c r="K487" s="223"/>
      <c r="L487" s="224"/>
    </row>
    <row r="488" spans="1:12" ht="18.75">
      <c r="A488" s="132"/>
      <c r="B488" s="132"/>
      <c r="C488" s="125" t="s">
        <v>250</v>
      </c>
      <c r="D488" s="125" t="s">
        <v>766</v>
      </c>
      <c r="E488" s="123" t="s">
        <v>799</v>
      </c>
      <c r="F488" s="115">
        <f>F489</f>
        <v>1203</v>
      </c>
      <c r="G488" s="115">
        <f>G489</f>
        <v>0</v>
      </c>
      <c r="H488" s="115">
        <f>H489</f>
        <v>1203</v>
      </c>
      <c r="I488" s="115">
        <f>I489</f>
        <v>1203</v>
      </c>
      <c r="J488" s="167">
        <f t="shared" si="63"/>
        <v>1</v>
      </c>
      <c r="K488" s="223"/>
      <c r="L488" s="224"/>
    </row>
    <row r="489" spans="1:12" ht="18.75">
      <c r="A489" s="125"/>
      <c r="B489" s="125"/>
      <c r="C489" s="125"/>
      <c r="D489" s="125" t="s">
        <v>32</v>
      </c>
      <c r="E489" s="124" t="s">
        <v>33</v>
      </c>
      <c r="F489" s="115">
        <v>1203</v>
      </c>
      <c r="G489" s="115"/>
      <c r="H489" s="115">
        <f>SUM(F489:G489)</f>
        <v>1203</v>
      </c>
      <c r="I489" s="115">
        <v>1203</v>
      </c>
      <c r="J489" s="167">
        <f t="shared" si="63"/>
        <v>1</v>
      </c>
      <c r="K489" s="223"/>
      <c r="L489" s="224"/>
    </row>
    <row r="490" spans="1:12" ht="18.75">
      <c r="A490" s="188"/>
      <c r="B490" s="188"/>
      <c r="C490" s="132" t="s">
        <v>251</v>
      </c>
      <c r="D490" s="132" t="s">
        <v>766</v>
      </c>
      <c r="E490" s="122" t="s">
        <v>252</v>
      </c>
      <c r="F490" s="130">
        <f>F491</f>
        <v>1768.3</v>
      </c>
      <c r="G490" s="130">
        <f>G491</f>
        <v>0</v>
      </c>
      <c r="H490" s="130">
        <f>H491</f>
        <v>2070.2</v>
      </c>
      <c r="I490" s="130">
        <f>I491</f>
        <v>1907.6999999999998</v>
      </c>
      <c r="J490" s="166">
        <f t="shared" si="63"/>
        <v>0.9215051685827457</v>
      </c>
      <c r="K490" s="223"/>
      <c r="L490" s="224"/>
    </row>
    <row r="491" spans="1:12" ht="18.75">
      <c r="A491" s="189"/>
      <c r="B491" s="188"/>
      <c r="C491" s="132" t="s">
        <v>253</v>
      </c>
      <c r="D491" s="132"/>
      <c r="E491" s="122" t="s">
        <v>800</v>
      </c>
      <c r="F491" s="130">
        <f>F492+F494</f>
        <v>1768.3</v>
      </c>
      <c r="G491" s="130">
        <f>G492+G494</f>
        <v>0</v>
      </c>
      <c r="H491" s="130">
        <f>H492+H494</f>
        <v>2070.2</v>
      </c>
      <c r="I491" s="130">
        <f>I492+I494</f>
        <v>1907.6999999999998</v>
      </c>
      <c r="J491" s="166">
        <f t="shared" si="63"/>
        <v>0.9215051685827457</v>
      </c>
      <c r="K491" s="223"/>
      <c r="L491" s="224"/>
    </row>
    <row r="492" spans="1:12" ht="24" customHeight="1">
      <c r="A492" s="188"/>
      <c r="B492" s="190"/>
      <c r="C492" s="125" t="s">
        <v>254</v>
      </c>
      <c r="D492" s="125" t="s">
        <v>766</v>
      </c>
      <c r="E492" s="123" t="s">
        <v>249</v>
      </c>
      <c r="F492" s="115">
        <f>F493</f>
        <v>1400</v>
      </c>
      <c r="G492" s="115">
        <f>G493</f>
        <v>0</v>
      </c>
      <c r="H492" s="115">
        <f>H493</f>
        <v>1440.3</v>
      </c>
      <c r="I492" s="115">
        <f>I493</f>
        <v>1277.8</v>
      </c>
      <c r="J492" s="167">
        <f t="shared" si="63"/>
        <v>0.887176282718878</v>
      </c>
      <c r="K492" s="223"/>
      <c r="L492" s="224"/>
    </row>
    <row r="493" spans="1:12" ht="18.75">
      <c r="A493" s="190"/>
      <c r="B493" s="190"/>
      <c r="C493" s="125"/>
      <c r="D493" s="125" t="s">
        <v>21</v>
      </c>
      <c r="E493" s="124" t="s">
        <v>22</v>
      </c>
      <c r="F493" s="115">
        <v>1400</v>
      </c>
      <c r="G493" s="115"/>
      <c r="H493" s="115">
        <v>1440.3</v>
      </c>
      <c r="I493" s="115">
        <v>1277.8</v>
      </c>
      <c r="J493" s="167">
        <f t="shared" si="63"/>
        <v>0.887176282718878</v>
      </c>
      <c r="K493" s="223"/>
      <c r="L493" s="224"/>
    </row>
    <row r="494" spans="1:12" ht="18.75">
      <c r="A494" s="190"/>
      <c r="B494" s="190"/>
      <c r="C494" s="125" t="s">
        <v>977</v>
      </c>
      <c r="D494" s="125"/>
      <c r="E494" s="124" t="s">
        <v>978</v>
      </c>
      <c r="F494" s="115">
        <f>F495</f>
        <v>368.3</v>
      </c>
      <c r="G494" s="115">
        <f>G495</f>
        <v>0</v>
      </c>
      <c r="H494" s="115">
        <f>H495+H496</f>
        <v>629.9</v>
      </c>
      <c r="I494" s="115">
        <f>I495+I496</f>
        <v>629.9</v>
      </c>
      <c r="J494" s="167">
        <f t="shared" si="63"/>
        <v>1</v>
      </c>
      <c r="K494" s="223"/>
      <c r="L494" s="224"/>
    </row>
    <row r="495" spans="1:12" ht="18.75">
      <c r="A495" s="190"/>
      <c r="B495" s="190"/>
      <c r="C495" s="125"/>
      <c r="D495" s="125" t="s">
        <v>27</v>
      </c>
      <c r="E495" s="124" t="s">
        <v>28</v>
      </c>
      <c r="F495" s="115">
        <v>368.3</v>
      </c>
      <c r="G495" s="115"/>
      <c r="H495" s="115">
        <v>129.5</v>
      </c>
      <c r="I495" s="115">
        <v>129.5</v>
      </c>
      <c r="J495" s="167">
        <f t="shared" si="63"/>
        <v>1</v>
      </c>
      <c r="K495" s="223"/>
      <c r="L495" s="224"/>
    </row>
    <row r="496" spans="1:12" ht="18.75">
      <c r="A496" s="190"/>
      <c r="B496" s="190"/>
      <c r="C496" s="125"/>
      <c r="D496" s="125" t="s">
        <v>21</v>
      </c>
      <c r="E496" s="124" t="s">
        <v>22</v>
      </c>
      <c r="F496" s="115"/>
      <c r="G496" s="115"/>
      <c r="H496" s="115">
        <v>500.4</v>
      </c>
      <c r="I496" s="115">
        <v>500.4</v>
      </c>
      <c r="J496" s="167">
        <f t="shared" si="63"/>
        <v>1</v>
      </c>
      <c r="K496" s="223"/>
      <c r="L496" s="224"/>
    </row>
    <row r="497" spans="1:12" ht="24" customHeight="1">
      <c r="A497" s="132"/>
      <c r="B497" s="132"/>
      <c r="C497" s="132" t="s">
        <v>255</v>
      </c>
      <c r="D497" s="132" t="s">
        <v>766</v>
      </c>
      <c r="E497" s="122" t="s">
        <v>256</v>
      </c>
      <c r="F497" s="130" t="e">
        <f aca="true" t="shared" si="64" ref="F497:I498">F498</f>
        <v>#REF!</v>
      </c>
      <c r="G497" s="130" t="e">
        <f t="shared" si="64"/>
        <v>#REF!</v>
      </c>
      <c r="H497" s="130">
        <f t="shared" si="64"/>
        <v>3131</v>
      </c>
      <c r="I497" s="130">
        <f t="shared" si="64"/>
        <v>2489.4</v>
      </c>
      <c r="J497" s="166">
        <f t="shared" si="63"/>
        <v>0.7950814436282339</v>
      </c>
      <c r="K497" s="223"/>
      <c r="L497" s="224"/>
    </row>
    <row r="498" spans="1:12" ht="18.75">
      <c r="A498" s="132"/>
      <c r="B498" s="132"/>
      <c r="C498" s="132" t="s">
        <v>261</v>
      </c>
      <c r="D498" s="132" t="s">
        <v>766</v>
      </c>
      <c r="E498" s="122" t="s">
        <v>262</v>
      </c>
      <c r="F498" s="130" t="e">
        <f t="shared" si="64"/>
        <v>#REF!</v>
      </c>
      <c r="G498" s="130" t="e">
        <f t="shared" si="64"/>
        <v>#REF!</v>
      </c>
      <c r="H498" s="130">
        <f t="shared" si="64"/>
        <v>3131</v>
      </c>
      <c r="I498" s="130">
        <f t="shared" si="64"/>
        <v>2489.4</v>
      </c>
      <c r="J498" s="166">
        <f t="shared" si="63"/>
        <v>0.7950814436282339</v>
      </c>
      <c r="K498" s="223"/>
      <c r="L498" s="224"/>
    </row>
    <row r="499" spans="1:12" ht="18.75">
      <c r="A499" s="132"/>
      <c r="B499" s="132"/>
      <c r="C499" s="132" t="s">
        <v>265</v>
      </c>
      <c r="D499" s="132"/>
      <c r="E499" s="122" t="s">
        <v>266</v>
      </c>
      <c r="F499" s="130" t="e">
        <f>F500+F502+F504+#REF!</f>
        <v>#REF!</v>
      </c>
      <c r="G499" s="130" t="e">
        <f>G500+G502+G504+#REF!</f>
        <v>#REF!</v>
      </c>
      <c r="H499" s="130">
        <f>H500+H502+H504</f>
        <v>3131</v>
      </c>
      <c r="I499" s="130">
        <f>I500+I502+I504</f>
        <v>2489.4</v>
      </c>
      <c r="J499" s="166">
        <f t="shared" si="63"/>
        <v>0.7950814436282339</v>
      </c>
      <c r="K499" s="223"/>
      <c r="L499" s="224"/>
    </row>
    <row r="500" spans="1:12" ht="18.75">
      <c r="A500" s="132"/>
      <c r="B500" s="132"/>
      <c r="C500" s="125" t="s">
        <v>979</v>
      </c>
      <c r="D500" s="125" t="s">
        <v>766</v>
      </c>
      <c r="E500" s="123" t="s">
        <v>801</v>
      </c>
      <c r="F500" s="115">
        <f>F501</f>
        <v>2100</v>
      </c>
      <c r="G500" s="115">
        <f>G501</f>
        <v>0</v>
      </c>
      <c r="H500" s="115">
        <f>H501</f>
        <v>1185.4</v>
      </c>
      <c r="I500" s="115">
        <f>I501</f>
        <v>550</v>
      </c>
      <c r="J500" s="167">
        <f t="shared" si="63"/>
        <v>0.4639784039142905</v>
      </c>
      <c r="K500" s="223"/>
      <c r="L500" s="224"/>
    </row>
    <row r="501" spans="1:12" ht="18.75">
      <c r="A501" s="125"/>
      <c r="B501" s="125"/>
      <c r="C501" s="125"/>
      <c r="D501" s="125" t="s">
        <v>32</v>
      </c>
      <c r="E501" s="124" t="s">
        <v>33</v>
      </c>
      <c r="F501" s="115">
        <v>2100</v>
      </c>
      <c r="G501" s="115"/>
      <c r="H501" s="115">
        <v>1185.4</v>
      </c>
      <c r="I501" s="115">
        <v>550</v>
      </c>
      <c r="J501" s="167">
        <f t="shared" si="63"/>
        <v>0.4639784039142905</v>
      </c>
      <c r="K501" s="223"/>
      <c r="L501" s="224"/>
    </row>
    <row r="502" spans="1:12" ht="18.75">
      <c r="A502" s="132"/>
      <c r="B502" s="132"/>
      <c r="C502" s="125" t="s">
        <v>267</v>
      </c>
      <c r="D502" s="125" t="s">
        <v>766</v>
      </c>
      <c r="E502" s="123" t="s">
        <v>802</v>
      </c>
      <c r="F502" s="115">
        <f>F503</f>
        <v>10.9</v>
      </c>
      <c r="G502" s="115">
        <f>G503</f>
        <v>0</v>
      </c>
      <c r="H502" s="115">
        <f>H503</f>
        <v>11.4</v>
      </c>
      <c r="I502" s="115">
        <f>I503</f>
        <v>11.4</v>
      </c>
      <c r="J502" s="167">
        <f t="shared" si="63"/>
        <v>1</v>
      </c>
      <c r="K502" s="223"/>
      <c r="L502" s="224"/>
    </row>
    <row r="503" spans="1:12" ht="18.75">
      <c r="A503" s="125"/>
      <c r="B503" s="125"/>
      <c r="C503" s="125"/>
      <c r="D503" s="125" t="s">
        <v>27</v>
      </c>
      <c r="E503" s="124" t="s">
        <v>28</v>
      </c>
      <c r="F503" s="115">
        <v>10.9</v>
      </c>
      <c r="G503" s="115"/>
      <c r="H503" s="115">
        <v>11.4</v>
      </c>
      <c r="I503" s="115">
        <v>11.4</v>
      </c>
      <c r="J503" s="167">
        <f t="shared" si="63"/>
        <v>1</v>
      </c>
      <c r="K503" s="223"/>
      <c r="L503" s="224"/>
    </row>
    <row r="504" spans="1:12" ht="37.5">
      <c r="A504" s="132"/>
      <c r="B504" s="132"/>
      <c r="C504" s="125" t="s">
        <v>268</v>
      </c>
      <c r="D504" s="125" t="s">
        <v>766</v>
      </c>
      <c r="E504" s="123" t="s">
        <v>803</v>
      </c>
      <c r="F504" s="115">
        <f>F505</f>
        <v>1885</v>
      </c>
      <c r="G504" s="115">
        <f>G505</f>
        <v>0</v>
      </c>
      <c r="H504" s="115">
        <f>H505</f>
        <v>1934.2</v>
      </c>
      <c r="I504" s="115">
        <f>I505</f>
        <v>1928</v>
      </c>
      <c r="J504" s="167">
        <f t="shared" si="63"/>
        <v>0.996794540378451</v>
      </c>
      <c r="K504" s="223"/>
      <c r="L504" s="224"/>
    </row>
    <row r="505" spans="1:12" ht="18.75">
      <c r="A505" s="125"/>
      <c r="B505" s="125"/>
      <c r="C505" s="125"/>
      <c r="D505" s="125" t="s">
        <v>32</v>
      </c>
      <c r="E505" s="124" t="s">
        <v>33</v>
      </c>
      <c r="F505" s="115">
        <v>1885</v>
      </c>
      <c r="G505" s="115"/>
      <c r="H505" s="115">
        <v>1934.2</v>
      </c>
      <c r="I505" s="115">
        <v>1928</v>
      </c>
      <c r="J505" s="167">
        <f t="shared" si="63"/>
        <v>0.996794540378451</v>
      </c>
      <c r="K505" s="223"/>
      <c r="L505" s="224"/>
    </row>
    <row r="506" spans="1:12" ht="18.75">
      <c r="A506" s="125"/>
      <c r="B506" s="117" t="s">
        <v>406</v>
      </c>
      <c r="C506" s="127"/>
      <c r="D506" s="125"/>
      <c r="E506" s="118" t="s">
        <v>407</v>
      </c>
      <c r="F506" s="130" t="e">
        <f aca="true" t="shared" si="65" ref="F506:I511">F507</f>
        <v>#REF!</v>
      </c>
      <c r="G506" s="130" t="e">
        <f t="shared" si="65"/>
        <v>#REF!</v>
      </c>
      <c r="H506" s="130">
        <f t="shared" si="65"/>
        <v>148185.41820000001</v>
      </c>
      <c r="I506" s="130">
        <f t="shared" si="65"/>
        <v>55118.71641</v>
      </c>
      <c r="J506" s="166">
        <f t="shared" si="63"/>
        <v>0.3719577612934118</v>
      </c>
      <c r="K506" s="223"/>
      <c r="L506" s="224"/>
    </row>
    <row r="507" spans="1:12" ht="18.75">
      <c r="A507" s="191"/>
      <c r="B507" s="117" t="s">
        <v>408</v>
      </c>
      <c r="C507" s="142"/>
      <c r="D507" s="117"/>
      <c r="E507" s="118" t="s">
        <v>409</v>
      </c>
      <c r="F507" s="130" t="e">
        <f t="shared" si="65"/>
        <v>#REF!</v>
      </c>
      <c r="G507" s="130" t="e">
        <f t="shared" si="65"/>
        <v>#REF!</v>
      </c>
      <c r="H507" s="130">
        <f t="shared" si="65"/>
        <v>148185.41820000001</v>
      </c>
      <c r="I507" s="130">
        <f t="shared" si="65"/>
        <v>55118.71641</v>
      </c>
      <c r="J507" s="166">
        <f t="shared" si="63"/>
        <v>0.3719577612934118</v>
      </c>
      <c r="K507" s="223"/>
      <c r="L507" s="224"/>
    </row>
    <row r="508" spans="1:12" ht="18.75">
      <c r="A508" s="132"/>
      <c r="B508" s="132"/>
      <c r="C508" s="132" t="s">
        <v>223</v>
      </c>
      <c r="D508" s="125"/>
      <c r="E508" s="122" t="s">
        <v>224</v>
      </c>
      <c r="F508" s="130" t="e">
        <f t="shared" si="65"/>
        <v>#REF!</v>
      </c>
      <c r="G508" s="130" t="e">
        <f t="shared" si="65"/>
        <v>#REF!</v>
      </c>
      <c r="H508" s="130">
        <f t="shared" si="65"/>
        <v>148185.41820000001</v>
      </c>
      <c r="I508" s="130">
        <f t="shared" si="65"/>
        <v>55118.71641</v>
      </c>
      <c r="J508" s="166">
        <f t="shared" si="63"/>
        <v>0.3719577612934118</v>
      </c>
      <c r="K508" s="223"/>
      <c r="L508" s="224"/>
    </row>
    <row r="509" spans="1:12" ht="30" customHeight="1">
      <c r="A509" s="132"/>
      <c r="B509" s="132"/>
      <c r="C509" s="132" t="s">
        <v>804</v>
      </c>
      <c r="D509" s="125"/>
      <c r="E509" s="135" t="s">
        <v>503</v>
      </c>
      <c r="F509" s="130" t="e">
        <f t="shared" si="65"/>
        <v>#REF!</v>
      </c>
      <c r="G509" s="130" t="e">
        <f t="shared" si="65"/>
        <v>#REF!</v>
      </c>
      <c r="H509" s="130">
        <f t="shared" si="65"/>
        <v>148185.41820000001</v>
      </c>
      <c r="I509" s="130">
        <f t="shared" si="65"/>
        <v>55118.71641</v>
      </c>
      <c r="J509" s="166">
        <f aca="true" t="shared" si="66" ref="J509:J519">I509/H509</f>
        <v>0.3719577612934118</v>
      </c>
      <c r="K509" s="223"/>
      <c r="L509" s="224"/>
    </row>
    <row r="510" spans="1:12" ht="37.5">
      <c r="A510" s="132"/>
      <c r="B510" s="132"/>
      <c r="C510" s="132" t="s">
        <v>226</v>
      </c>
      <c r="D510" s="125"/>
      <c r="E510" s="122" t="s">
        <v>227</v>
      </c>
      <c r="F510" s="130" t="e">
        <f>F511+F513</f>
        <v>#REF!</v>
      </c>
      <c r="G510" s="130" t="e">
        <f>G511+G513</f>
        <v>#REF!</v>
      </c>
      <c r="H510" s="130">
        <f>H511+H513+H528+H519+H524+H534</f>
        <v>148185.41820000001</v>
      </c>
      <c r="I510" s="130">
        <f>I511+I513+I528+I519+I524+I534</f>
        <v>55118.71641</v>
      </c>
      <c r="J510" s="166">
        <f t="shared" si="66"/>
        <v>0.3719577612934118</v>
      </c>
      <c r="K510" s="223"/>
      <c r="L510" s="224"/>
    </row>
    <row r="511" spans="1:12" ht="42" customHeight="1">
      <c r="A511" s="132"/>
      <c r="B511" s="132"/>
      <c r="C511" s="125" t="s">
        <v>805</v>
      </c>
      <c r="D511" s="125"/>
      <c r="E511" s="123" t="s">
        <v>980</v>
      </c>
      <c r="F511" s="115">
        <f t="shared" si="65"/>
        <v>1500</v>
      </c>
      <c r="G511" s="115">
        <f t="shared" si="65"/>
        <v>0</v>
      </c>
      <c r="H511" s="115">
        <f t="shared" si="65"/>
        <v>1798.3</v>
      </c>
      <c r="I511" s="115">
        <f t="shared" si="65"/>
        <v>1794.7</v>
      </c>
      <c r="J511" s="167">
        <f t="shared" si="66"/>
        <v>0.9979981093254741</v>
      </c>
      <c r="K511" s="223"/>
      <c r="L511" s="224"/>
    </row>
    <row r="512" spans="1:12" ht="18.75">
      <c r="A512" s="132"/>
      <c r="B512" s="132"/>
      <c r="C512" s="125"/>
      <c r="D512" s="125" t="s">
        <v>27</v>
      </c>
      <c r="E512" s="124" t="s">
        <v>28</v>
      </c>
      <c r="F512" s="115">
        <v>1500</v>
      </c>
      <c r="G512" s="115"/>
      <c r="H512" s="115">
        <v>1798.3</v>
      </c>
      <c r="I512" s="115">
        <v>1794.7</v>
      </c>
      <c r="J512" s="167">
        <f t="shared" si="66"/>
        <v>0.9979981093254741</v>
      </c>
      <c r="K512" s="223"/>
      <c r="L512" s="224"/>
    </row>
    <row r="513" spans="1:12" ht="39" customHeight="1">
      <c r="A513" s="132"/>
      <c r="B513" s="132"/>
      <c r="C513" s="125" t="s">
        <v>981</v>
      </c>
      <c r="D513" s="125"/>
      <c r="E513" s="124" t="s">
        <v>423</v>
      </c>
      <c r="F513" s="115" t="e">
        <f>#REF!+F514</f>
        <v>#REF!</v>
      </c>
      <c r="G513" s="115" t="e">
        <f>#REF!+G514</f>
        <v>#REF!</v>
      </c>
      <c r="H513" s="115">
        <f>H514</f>
        <v>120053.3702</v>
      </c>
      <c r="I513" s="115">
        <f>I514</f>
        <v>26990.26841</v>
      </c>
      <c r="J513" s="167">
        <f t="shared" si="66"/>
        <v>0.224818914829598</v>
      </c>
      <c r="K513" s="223"/>
      <c r="L513" s="224"/>
    </row>
    <row r="514" spans="1:12" ht="28.5" customHeight="1">
      <c r="A514" s="132"/>
      <c r="B514" s="132"/>
      <c r="C514" s="125" t="s">
        <v>982</v>
      </c>
      <c r="D514" s="125"/>
      <c r="E514" s="124" t="s">
        <v>983</v>
      </c>
      <c r="F514" s="115" t="e">
        <f>#REF!+F515</f>
        <v>#REF!</v>
      </c>
      <c r="G514" s="115" t="e">
        <f>#REF!+G515</f>
        <v>#REF!</v>
      </c>
      <c r="H514" s="173">
        <f>H515+H517</f>
        <v>120053.3702</v>
      </c>
      <c r="I514" s="173">
        <f>I515+I517</f>
        <v>26990.26841</v>
      </c>
      <c r="J514" s="167">
        <f t="shared" si="66"/>
        <v>0.224818914829598</v>
      </c>
      <c r="K514" s="223"/>
      <c r="L514" s="224"/>
    </row>
    <row r="515" spans="1:12" ht="56.25">
      <c r="A515" s="132"/>
      <c r="B515" s="132"/>
      <c r="C515" s="125" t="s">
        <v>984</v>
      </c>
      <c r="D515" s="125"/>
      <c r="E515" s="124" t="s">
        <v>1090</v>
      </c>
      <c r="F515" s="115">
        <f>F516</f>
        <v>3330.47588</v>
      </c>
      <c r="G515" s="115">
        <f>G516</f>
        <v>0</v>
      </c>
      <c r="H515" s="173">
        <f>H516</f>
        <v>25550.84255</v>
      </c>
      <c r="I515" s="173">
        <f>I516</f>
        <v>25550.84255</v>
      </c>
      <c r="J515" s="167">
        <f t="shared" si="66"/>
        <v>1</v>
      </c>
      <c r="K515" s="223"/>
      <c r="L515" s="224"/>
    </row>
    <row r="516" spans="1:12" ht="18.75">
      <c r="A516" s="132"/>
      <c r="B516" s="132"/>
      <c r="C516" s="125"/>
      <c r="D516" s="125" t="s">
        <v>188</v>
      </c>
      <c r="E516" s="124" t="s">
        <v>208</v>
      </c>
      <c r="F516" s="192">
        <v>3330.47588</v>
      </c>
      <c r="G516" s="115"/>
      <c r="H516" s="173">
        <v>25550.84255</v>
      </c>
      <c r="I516" s="173">
        <v>25550.84255</v>
      </c>
      <c r="J516" s="167">
        <f t="shared" si="66"/>
        <v>1</v>
      </c>
      <c r="K516" s="223"/>
      <c r="L516" s="224"/>
    </row>
    <row r="517" spans="1:12" s="176" customFormat="1" ht="56.25">
      <c r="A517" s="193"/>
      <c r="B517" s="193"/>
      <c r="C517" s="119" t="s">
        <v>984</v>
      </c>
      <c r="D517" s="119"/>
      <c r="E517" s="120" t="s">
        <v>1091</v>
      </c>
      <c r="F517" s="194"/>
      <c r="G517" s="131"/>
      <c r="H517" s="171">
        <f>H518</f>
        <v>94502.52765</v>
      </c>
      <c r="I517" s="171">
        <f>I518</f>
        <v>1439.42586</v>
      </c>
      <c r="J517" s="169">
        <f t="shared" si="66"/>
        <v>0.015231612273177118</v>
      </c>
      <c r="K517" s="223"/>
      <c r="L517" s="224"/>
    </row>
    <row r="518" spans="1:12" s="176" customFormat="1" ht="18.75">
      <c r="A518" s="193"/>
      <c r="B518" s="193"/>
      <c r="C518" s="119"/>
      <c r="D518" s="119" t="s">
        <v>188</v>
      </c>
      <c r="E518" s="120" t="s">
        <v>208</v>
      </c>
      <c r="F518" s="194"/>
      <c r="G518" s="131"/>
      <c r="H518" s="171">
        <f>27841.42765+66661.1</f>
        <v>94502.52765</v>
      </c>
      <c r="I518" s="171">
        <v>1439.42586</v>
      </c>
      <c r="J518" s="169">
        <f t="shared" si="66"/>
        <v>0.015231612273177118</v>
      </c>
      <c r="K518" s="223"/>
      <c r="L518" s="224"/>
    </row>
    <row r="519" spans="1:12" s="176" customFormat="1" ht="37.5">
      <c r="A519" s="193"/>
      <c r="B519" s="193"/>
      <c r="C519" s="125" t="s">
        <v>984</v>
      </c>
      <c r="D519" s="125"/>
      <c r="E519" s="124" t="s">
        <v>985</v>
      </c>
      <c r="F519" s="194"/>
      <c r="G519" s="131"/>
      <c r="H519" s="173">
        <f>H521</f>
        <v>3883.3994999999995</v>
      </c>
      <c r="I519" s="173">
        <f>I521</f>
        <v>3883.3994999999995</v>
      </c>
      <c r="J519" s="167">
        <f t="shared" si="66"/>
        <v>1</v>
      </c>
      <c r="K519" s="223"/>
      <c r="L519" s="224"/>
    </row>
    <row r="520" spans="1:12" s="176" customFormat="1" ht="18.75">
      <c r="A520" s="193"/>
      <c r="B520" s="193"/>
      <c r="C520" s="125"/>
      <c r="D520" s="125"/>
      <c r="E520" s="124" t="s">
        <v>889</v>
      </c>
      <c r="F520" s="194"/>
      <c r="G520" s="131"/>
      <c r="H520" s="173"/>
      <c r="I520" s="171"/>
      <c r="J520" s="167"/>
      <c r="K520" s="223"/>
      <c r="L520" s="224"/>
    </row>
    <row r="521" spans="1:12" s="176" customFormat="1" ht="37.5">
      <c r="A521" s="193"/>
      <c r="B521" s="193"/>
      <c r="C521" s="125"/>
      <c r="D521" s="125"/>
      <c r="E521" s="124" t="s">
        <v>986</v>
      </c>
      <c r="F521" s="194"/>
      <c r="G521" s="131"/>
      <c r="H521" s="173">
        <f>H522+H523</f>
        <v>3883.3994999999995</v>
      </c>
      <c r="I521" s="173">
        <f>I522+I523</f>
        <v>3883.3994999999995</v>
      </c>
      <c r="J521" s="167">
        <f>I521/H521</f>
        <v>1</v>
      </c>
      <c r="K521" s="223"/>
      <c r="L521" s="224"/>
    </row>
    <row r="522" spans="1:12" s="176" customFormat="1" ht="18.75">
      <c r="A522" s="193"/>
      <c r="B522" s="193"/>
      <c r="C522" s="211"/>
      <c r="D522" s="125" t="s">
        <v>27</v>
      </c>
      <c r="E522" s="124" t="s">
        <v>28</v>
      </c>
      <c r="F522" s="194"/>
      <c r="G522" s="131"/>
      <c r="H522" s="173">
        <v>580.32801</v>
      </c>
      <c r="I522" s="173">
        <v>580.32801</v>
      </c>
      <c r="J522" s="167">
        <f>I522/H522</f>
        <v>1</v>
      </c>
      <c r="K522" s="223"/>
      <c r="L522" s="224"/>
    </row>
    <row r="523" spans="1:12" s="176" customFormat="1" ht="18.75">
      <c r="A523" s="193"/>
      <c r="B523" s="193"/>
      <c r="C523" s="125"/>
      <c r="D523" s="125" t="s">
        <v>188</v>
      </c>
      <c r="E523" s="124" t="s">
        <v>208</v>
      </c>
      <c r="F523" s="194"/>
      <c r="G523" s="131"/>
      <c r="H523" s="173">
        <v>3303.07149</v>
      </c>
      <c r="I523" s="173">
        <v>3303.07149</v>
      </c>
      <c r="J523" s="167">
        <f>I523/H523</f>
        <v>1</v>
      </c>
      <c r="K523" s="223"/>
      <c r="L523" s="224"/>
    </row>
    <row r="524" spans="1:12" s="176" customFormat="1" ht="37.5">
      <c r="A524" s="193"/>
      <c r="B524" s="193"/>
      <c r="C524" s="119" t="s">
        <v>984</v>
      </c>
      <c r="D524" s="119"/>
      <c r="E524" s="120" t="s">
        <v>1001</v>
      </c>
      <c r="F524" s="194"/>
      <c r="G524" s="131"/>
      <c r="H524" s="171">
        <f>H525</f>
        <v>11650.1985</v>
      </c>
      <c r="I524" s="171">
        <f>I525</f>
        <v>11650.1985</v>
      </c>
      <c r="J524" s="171">
        <f>J525</f>
        <v>1</v>
      </c>
      <c r="K524" s="223"/>
      <c r="L524" s="224"/>
    </row>
    <row r="525" spans="1:12" s="176" customFormat="1" ht="18.75">
      <c r="A525" s="193"/>
      <c r="B525" s="193"/>
      <c r="C525" s="212"/>
      <c r="D525" s="119" t="s">
        <v>188</v>
      </c>
      <c r="E525" s="120" t="s">
        <v>208</v>
      </c>
      <c r="F525" s="194"/>
      <c r="G525" s="131"/>
      <c r="H525" s="171">
        <v>11650.1985</v>
      </c>
      <c r="I525" s="171">
        <v>11650.1985</v>
      </c>
      <c r="J525" s="169">
        <f>I525/H525</f>
        <v>1</v>
      </c>
      <c r="K525" s="223"/>
      <c r="L525" s="224"/>
    </row>
    <row r="526" spans="1:12" s="176" customFormat="1" ht="18.75">
      <c r="A526" s="193"/>
      <c r="B526" s="193"/>
      <c r="C526" s="212"/>
      <c r="D526" s="119"/>
      <c r="E526" s="120" t="s">
        <v>889</v>
      </c>
      <c r="F526" s="194"/>
      <c r="G526" s="131"/>
      <c r="H526" s="171"/>
      <c r="I526" s="171"/>
      <c r="J526" s="169"/>
      <c r="K526" s="223"/>
      <c r="L526" s="224"/>
    </row>
    <row r="527" spans="1:12" s="176" customFormat="1" ht="37.5">
      <c r="A527" s="193"/>
      <c r="B527" s="193"/>
      <c r="C527" s="212"/>
      <c r="D527" s="119"/>
      <c r="E527" s="120" t="s">
        <v>986</v>
      </c>
      <c r="F527" s="194"/>
      <c r="G527" s="131"/>
      <c r="H527" s="171">
        <v>11650.1985</v>
      </c>
      <c r="I527" s="171">
        <v>11650.1985</v>
      </c>
      <c r="J527" s="169">
        <f>I527/H527</f>
        <v>1</v>
      </c>
      <c r="K527" s="223"/>
      <c r="L527" s="224"/>
    </row>
    <row r="528" spans="1:12" ht="57.75" customHeight="1">
      <c r="A528" s="132"/>
      <c r="B528" s="132"/>
      <c r="C528" s="125" t="s">
        <v>987</v>
      </c>
      <c r="D528" s="125"/>
      <c r="E528" s="124" t="s">
        <v>988</v>
      </c>
      <c r="F528" s="194"/>
      <c r="G528" s="171"/>
      <c r="H528" s="173">
        <f>H529</f>
        <v>6300.150000000001</v>
      </c>
      <c r="I528" s="173">
        <f>I529</f>
        <v>6300.150000000001</v>
      </c>
      <c r="J528" s="167">
        <f>I528/H528</f>
        <v>1</v>
      </c>
      <c r="K528" s="223"/>
      <c r="L528" s="224"/>
    </row>
    <row r="529" spans="1:12" ht="18.75">
      <c r="A529" s="132"/>
      <c r="B529" s="132"/>
      <c r="C529" s="125"/>
      <c r="D529" s="125" t="s">
        <v>27</v>
      </c>
      <c r="E529" s="124" t="s">
        <v>28</v>
      </c>
      <c r="F529" s="194"/>
      <c r="G529" s="171"/>
      <c r="H529" s="173">
        <f>H531+H532+H533</f>
        <v>6300.150000000001</v>
      </c>
      <c r="I529" s="173">
        <f>I531+I532+I533</f>
        <v>6300.150000000001</v>
      </c>
      <c r="J529" s="167">
        <f>I529/H529</f>
        <v>1</v>
      </c>
      <c r="K529" s="223"/>
      <c r="L529" s="224"/>
    </row>
    <row r="530" spans="1:12" ht="18.75">
      <c r="A530" s="132"/>
      <c r="B530" s="132"/>
      <c r="C530" s="125"/>
      <c r="D530" s="125"/>
      <c r="E530" s="124" t="s">
        <v>889</v>
      </c>
      <c r="F530" s="194"/>
      <c r="G530" s="171"/>
      <c r="H530" s="171"/>
      <c r="I530" s="171"/>
      <c r="J530" s="169"/>
      <c r="K530" s="223"/>
      <c r="L530" s="224"/>
    </row>
    <row r="531" spans="1:12" ht="18.75">
      <c r="A531" s="132"/>
      <c r="B531" s="132"/>
      <c r="C531" s="125"/>
      <c r="D531" s="125"/>
      <c r="E531" s="124" t="s">
        <v>989</v>
      </c>
      <c r="F531" s="194"/>
      <c r="G531" s="171"/>
      <c r="H531" s="173">
        <v>2100.05</v>
      </c>
      <c r="I531" s="173">
        <v>2100.05</v>
      </c>
      <c r="J531" s="167">
        <f>I531/H531</f>
        <v>1</v>
      </c>
      <c r="K531" s="223"/>
      <c r="L531" s="224"/>
    </row>
    <row r="532" spans="1:12" ht="18.75">
      <c r="A532" s="132"/>
      <c r="B532" s="132"/>
      <c r="C532" s="125"/>
      <c r="D532" s="125"/>
      <c r="E532" s="124" t="s">
        <v>990</v>
      </c>
      <c r="F532" s="194"/>
      <c r="G532" s="171"/>
      <c r="H532" s="173">
        <v>2100.05</v>
      </c>
      <c r="I532" s="173">
        <v>2100.05</v>
      </c>
      <c r="J532" s="167">
        <f>I532/H532</f>
        <v>1</v>
      </c>
      <c r="K532" s="223"/>
      <c r="L532" s="224"/>
    </row>
    <row r="533" spans="1:12" ht="18.75">
      <c r="A533" s="132"/>
      <c r="B533" s="132"/>
      <c r="C533" s="125"/>
      <c r="D533" s="125"/>
      <c r="E533" s="124" t="s">
        <v>991</v>
      </c>
      <c r="F533" s="194"/>
      <c r="G533" s="171"/>
      <c r="H533" s="173">
        <v>2100.05</v>
      </c>
      <c r="I533" s="173">
        <v>2100.05</v>
      </c>
      <c r="J533" s="167">
        <f>I533/H533</f>
        <v>1</v>
      </c>
      <c r="K533" s="223"/>
      <c r="L533" s="224"/>
    </row>
    <row r="534" spans="1:12" ht="37.5">
      <c r="A534" s="132"/>
      <c r="B534" s="132"/>
      <c r="C534" s="119" t="s">
        <v>987</v>
      </c>
      <c r="D534" s="119"/>
      <c r="E534" s="120" t="s">
        <v>992</v>
      </c>
      <c r="F534" s="194"/>
      <c r="G534" s="171"/>
      <c r="H534" s="171">
        <f>H535</f>
        <v>4500</v>
      </c>
      <c r="I534" s="171">
        <f>I535</f>
        <v>4500</v>
      </c>
      <c r="J534" s="169">
        <f>I534/H534</f>
        <v>1</v>
      </c>
      <c r="K534" s="223"/>
      <c r="L534" s="224"/>
    </row>
    <row r="535" spans="1:12" ht="18.75">
      <c r="A535" s="132"/>
      <c r="B535" s="132"/>
      <c r="C535" s="119"/>
      <c r="D535" s="195" t="s">
        <v>27</v>
      </c>
      <c r="E535" s="196" t="s">
        <v>28</v>
      </c>
      <c r="F535" s="194"/>
      <c r="G535" s="171"/>
      <c r="H535" s="171">
        <f>H537+H538+H539</f>
        <v>4500</v>
      </c>
      <c r="I535" s="171">
        <f>I537+I538+I539</f>
        <v>4500</v>
      </c>
      <c r="J535" s="169">
        <f>I535/H535</f>
        <v>1</v>
      </c>
      <c r="K535" s="223"/>
      <c r="L535" s="224"/>
    </row>
    <row r="536" spans="1:12" ht="18.75">
      <c r="A536" s="132"/>
      <c r="B536" s="132"/>
      <c r="C536" s="119"/>
      <c r="D536" s="119"/>
      <c r="E536" s="120" t="s">
        <v>889</v>
      </c>
      <c r="F536" s="194"/>
      <c r="G536" s="171"/>
      <c r="H536" s="171"/>
      <c r="I536" s="171"/>
      <c r="J536" s="169"/>
      <c r="K536" s="223"/>
      <c r="L536" s="224"/>
    </row>
    <row r="537" spans="1:12" ht="18.75">
      <c r="A537" s="132"/>
      <c r="B537" s="132"/>
      <c r="C537" s="119"/>
      <c r="D537" s="119"/>
      <c r="E537" s="120" t="s">
        <v>989</v>
      </c>
      <c r="F537" s="194"/>
      <c r="G537" s="171"/>
      <c r="H537" s="171">
        <v>1500</v>
      </c>
      <c r="I537" s="171">
        <v>1500</v>
      </c>
      <c r="J537" s="169">
        <f>I537/H537</f>
        <v>1</v>
      </c>
      <c r="K537" s="223"/>
      <c r="L537" s="224"/>
    </row>
    <row r="538" spans="1:12" ht="18.75">
      <c r="A538" s="132"/>
      <c r="B538" s="132"/>
      <c r="C538" s="119"/>
      <c r="D538" s="119"/>
      <c r="E538" s="120" t="s">
        <v>990</v>
      </c>
      <c r="F538" s="194"/>
      <c r="G538" s="171"/>
      <c r="H538" s="171">
        <v>1500</v>
      </c>
      <c r="I538" s="171">
        <v>1500</v>
      </c>
      <c r="J538" s="169">
        <f>I538/H538</f>
        <v>1</v>
      </c>
      <c r="K538" s="223"/>
      <c r="L538" s="224"/>
    </row>
    <row r="539" spans="1:12" ht="18.75">
      <c r="A539" s="132"/>
      <c r="B539" s="132"/>
      <c r="C539" s="119"/>
      <c r="D539" s="119"/>
      <c r="E539" s="120" t="s">
        <v>991</v>
      </c>
      <c r="F539" s="194"/>
      <c r="G539" s="171"/>
      <c r="H539" s="171">
        <v>1500</v>
      </c>
      <c r="I539" s="171">
        <v>1500</v>
      </c>
      <c r="J539" s="169">
        <f>I539/H539</f>
        <v>1</v>
      </c>
      <c r="K539" s="223"/>
      <c r="L539" s="224"/>
    </row>
    <row r="540" spans="1:12" ht="18.75">
      <c r="A540" s="132"/>
      <c r="B540" s="132"/>
      <c r="C540" s="125"/>
      <c r="D540" s="125"/>
      <c r="E540" s="124"/>
      <c r="F540" s="192"/>
      <c r="G540" s="192"/>
      <c r="H540" s="192"/>
      <c r="I540" s="147"/>
      <c r="J540" s="167"/>
      <c r="K540" s="223"/>
      <c r="L540" s="224"/>
    </row>
    <row r="541" spans="1:12" ht="24.75" customHeight="1">
      <c r="A541" s="162" t="s">
        <v>391</v>
      </c>
      <c r="B541" s="162" t="s">
        <v>766</v>
      </c>
      <c r="C541" s="162" t="s">
        <v>766</v>
      </c>
      <c r="D541" s="162" t="s">
        <v>766</v>
      </c>
      <c r="E541" s="163" t="s">
        <v>760</v>
      </c>
      <c r="F541" s="164">
        <f>F542+F558+F567</f>
        <v>11961.499999999998</v>
      </c>
      <c r="G541" s="164">
        <f>G542+G558+G567</f>
        <v>0</v>
      </c>
      <c r="H541" s="164">
        <f>H542+H558+H567</f>
        <v>11572.399999999998</v>
      </c>
      <c r="I541" s="164">
        <f>I542+I558+I567</f>
        <v>10995.6</v>
      </c>
      <c r="J541" s="165">
        <f aca="true" t="shared" si="67" ref="J541:J573">I541/H541</f>
        <v>0.9501572707476411</v>
      </c>
      <c r="K541" s="223"/>
      <c r="L541" s="224"/>
    </row>
    <row r="542" spans="1:12" ht="18.75">
      <c r="A542" s="132"/>
      <c r="B542" s="117" t="s">
        <v>329</v>
      </c>
      <c r="C542" s="117"/>
      <c r="D542" s="117"/>
      <c r="E542" s="118" t="s">
        <v>330</v>
      </c>
      <c r="F542" s="130">
        <f>F543+F551</f>
        <v>9357.999999999998</v>
      </c>
      <c r="G542" s="130">
        <f>G543+G551</f>
        <v>0</v>
      </c>
      <c r="H542" s="130">
        <f>H543+H551</f>
        <v>9422.899999999998</v>
      </c>
      <c r="I542" s="130">
        <f>I543+I551</f>
        <v>9374.9</v>
      </c>
      <c r="J542" s="166">
        <f t="shared" si="67"/>
        <v>0.9949060268070341</v>
      </c>
      <c r="K542" s="223"/>
      <c r="L542" s="224"/>
    </row>
    <row r="543" spans="1:12" ht="37.5">
      <c r="A543" s="132"/>
      <c r="B543" s="116" t="s">
        <v>341</v>
      </c>
      <c r="C543" s="117"/>
      <c r="D543" s="117"/>
      <c r="E543" s="118" t="s">
        <v>342</v>
      </c>
      <c r="F543" s="130">
        <f>F544</f>
        <v>9292.699999999999</v>
      </c>
      <c r="G543" s="130">
        <f aca="true" t="shared" si="68" ref="G543:I546">G544</f>
        <v>0</v>
      </c>
      <c r="H543" s="130">
        <f t="shared" si="68"/>
        <v>9337.099999999999</v>
      </c>
      <c r="I543" s="130">
        <f t="shared" si="68"/>
        <v>9289.699999999999</v>
      </c>
      <c r="J543" s="166">
        <f t="shared" si="67"/>
        <v>0.9949234773109424</v>
      </c>
      <c r="K543" s="223"/>
      <c r="L543" s="224"/>
    </row>
    <row r="544" spans="1:12" ht="18.75">
      <c r="A544" s="132"/>
      <c r="B544" s="132"/>
      <c r="C544" s="132" t="s">
        <v>167</v>
      </c>
      <c r="D544" s="132" t="s">
        <v>766</v>
      </c>
      <c r="E544" s="122" t="s">
        <v>168</v>
      </c>
      <c r="F544" s="130">
        <f>F545</f>
        <v>9292.699999999999</v>
      </c>
      <c r="G544" s="130">
        <f t="shared" si="68"/>
        <v>0</v>
      </c>
      <c r="H544" s="130">
        <f t="shared" si="68"/>
        <v>9337.099999999999</v>
      </c>
      <c r="I544" s="130">
        <f t="shared" si="68"/>
        <v>9289.699999999999</v>
      </c>
      <c r="J544" s="166">
        <f t="shared" si="67"/>
        <v>0.9949234773109424</v>
      </c>
      <c r="K544" s="223"/>
      <c r="L544" s="224"/>
    </row>
    <row r="545" spans="1:12" ht="37.5">
      <c r="A545" s="132"/>
      <c r="B545" s="132"/>
      <c r="C545" s="132" t="s">
        <v>217</v>
      </c>
      <c r="D545" s="132" t="s">
        <v>766</v>
      </c>
      <c r="E545" s="122" t="s">
        <v>218</v>
      </c>
      <c r="F545" s="130">
        <f>F546</f>
        <v>9292.699999999999</v>
      </c>
      <c r="G545" s="130">
        <f t="shared" si="68"/>
        <v>0</v>
      </c>
      <c r="H545" s="130">
        <f t="shared" si="68"/>
        <v>9337.099999999999</v>
      </c>
      <c r="I545" s="130">
        <f t="shared" si="68"/>
        <v>9289.699999999999</v>
      </c>
      <c r="J545" s="166">
        <f t="shared" si="67"/>
        <v>0.9949234773109424</v>
      </c>
      <c r="K545" s="223"/>
      <c r="L545" s="224"/>
    </row>
    <row r="546" spans="1:12" ht="37.5">
      <c r="A546" s="132"/>
      <c r="B546" s="132"/>
      <c r="C546" s="132" t="s">
        <v>219</v>
      </c>
      <c r="D546" s="132"/>
      <c r="E546" s="122" t="s">
        <v>42</v>
      </c>
      <c r="F546" s="130">
        <f>F547</f>
        <v>9292.699999999999</v>
      </c>
      <c r="G546" s="130">
        <f t="shared" si="68"/>
        <v>0</v>
      </c>
      <c r="H546" s="130">
        <f t="shared" si="68"/>
        <v>9337.099999999999</v>
      </c>
      <c r="I546" s="130">
        <f t="shared" si="68"/>
        <v>9289.699999999999</v>
      </c>
      <c r="J546" s="166">
        <f t="shared" si="67"/>
        <v>0.9949234773109424</v>
      </c>
      <c r="K546" s="223"/>
      <c r="L546" s="224"/>
    </row>
    <row r="547" spans="1:12" ht="18.75">
      <c r="A547" s="132"/>
      <c r="B547" s="132"/>
      <c r="C547" s="125" t="s">
        <v>220</v>
      </c>
      <c r="D547" s="125" t="s">
        <v>766</v>
      </c>
      <c r="E547" s="123" t="s">
        <v>45</v>
      </c>
      <c r="F547" s="115">
        <f>SUM(F548:F550)</f>
        <v>9292.699999999999</v>
      </c>
      <c r="G547" s="115">
        <f>SUM(G548:G550)</f>
        <v>0</v>
      </c>
      <c r="H547" s="115">
        <f>SUM(H548:H550)</f>
        <v>9337.099999999999</v>
      </c>
      <c r="I547" s="115">
        <f>SUM(I548:I550)</f>
        <v>9289.699999999999</v>
      </c>
      <c r="J547" s="167">
        <f t="shared" si="67"/>
        <v>0.9949234773109424</v>
      </c>
      <c r="K547" s="223"/>
      <c r="L547" s="224"/>
    </row>
    <row r="548" spans="1:12" ht="37.5">
      <c r="A548" s="125"/>
      <c r="B548" s="125"/>
      <c r="C548" s="125"/>
      <c r="D548" s="125" t="s">
        <v>46</v>
      </c>
      <c r="E548" s="124" t="s">
        <v>47</v>
      </c>
      <c r="F548" s="115">
        <f>6276.3+3+1895.5</f>
        <v>8174.8</v>
      </c>
      <c r="G548" s="115"/>
      <c r="H548" s="115">
        <v>8406.8</v>
      </c>
      <c r="I548" s="115">
        <v>8362.9</v>
      </c>
      <c r="J548" s="167">
        <f t="shared" si="67"/>
        <v>0.9947780368273303</v>
      </c>
      <c r="K548" s="223"/>
      <c r="L548" s="224"/>
    </row>
    <row r="549" spans="1:12" ht="18.75">
      <c r="A549" s="125"/>
      <c r="B549" s="125"/>
      <c r="C549" s="125"/>
      <c r="D549" s="125" t="s">
        <v>27</v>
      </c>
      <c r="E549" s="124" t="s">
        <v>28</v>
      </c>
      <c r="F549" s="115">
        <f>325.8+773.3</f>
        <v>1099.1</v>
      </c>
      <c r="G549" s="115"/>
      <c r="H549" s="115">
        <v>919.4</v>
      </c>
      <c r="I549" s="115">
        <v>915.9</v>
      </c>
      <c r="J549" s="167">
        <f t="shared" si="67"/>
        <v>0.9961931694583424</v>
      </c>
      <c r="K549" s="223"/>
      <c r="L549" s="224"/>
    </row>
    <row r="550" spans="1:12" ht="18.75">
      <c r="A550" s="125"/>
      <c r="B550" s="125"/>
      <c r="C550" s="125"/>
      <c r="D550" s="125" t="s">
        <v>62</v>
      </c>
      <c r="E550" s="124" t="s">
        <v>63</v>
      </c>
      <c r="F550" s="115">
        <f>14.3+4.5</f>
        <v>18.8</v>
      </c>
      <c r="G550" s="115"/>
      <c r="H550" s="115">
        <v>10.9</v>
      </c>
      <c r="I550" s="115">
        <v>10.9</v>
      </c>
      <c r="J550" s="167">
        <f t="shared" si="67"/>
        <v>1</v>
      </c>
      <c r="K550" s="223"/>
      <c r="L550" s="224"/>
    </row>
    <row r="551" spans="1:12" ht="18.75">
      <c r="A551" s="125"/>
      <c r="B551" s="116" t="s">
        <v>333</v>
      </c>
      <c r="C551" s="117"/>
      <c r="D551" s="117"/>
      <c r="E551" s="118" t="s">
        <v>334</v>
      </c>
      <c r="F551" s="130">
        <f>F552</f>
        <v>65.3</v>
      </c>
      <c r="G551" s="130">
        <f aca="true" t="shared" si="69" ref="G551:I554">G552</f>
        <v>0</v>
      </c>
      <c r="H551" s="130">
        <f t="shared" si="69"/>
        <v>85.80000000000001</v>
      </c>
      <c r="I551" s="130">
        <f t="shared" si="69"/>
        <v>85.19999999999999</v>
      </c>
      <c r="J551" s="166">
        <f t="shared" si="67"/>
        <v>0.9930069930069927</v>
      </c>
      <c r="K551" s="223"/>
      <c r="L551" s="224"/>
    </row>
    <row r="552" spans="1:12" ht="37.5">
      <c r="A552" s="132"/>
      <c r="B552" s="132"/>
      <c r="C552" s="132" t="s">
        <v>269</v>
      </c>
      <c r="D552" s="132" t="s">
        <v>766</v>
      </c>
      <c r="E552" s="122" t="s">
        <v>412</v>
      </c>
      <c r="F552" s="130">
        <f>F553</f>
        <v>65.3</v>
      </c>
      <c r="G552" s="130">
        <f t="shared" si="69"/>
        <v>0</v>
      </c>
      <c r="H552" s="130">
        <f t="shared" si="69"/>
        <v>85.80000000000001</v>
      </c>
      <c r="I552" s="130">
        <f t="shared" si="69"/>
        <v>85.19999999999999</v>
      </c>
      <c r="J552" s="166">
        <f t="shared" si="67"/>
        <v>0.9930069930069927</v>
      </c>
      <c r="K552" s="223"/>
      <c r="L552" s="224"/>
    </row>
    <row r="553" spans="1:12" ht="30" customHeight="1">
      <c r="A553" s="132"/>
      <c r="B553" s="132"/>
      <c r="C553" s="132" t="s">
        <v>270</v>
      </c>
      <c r="D553" s="132" t="s">
        <v>766</v>
      </c>
      <c r="E553" s="122" t="s">
        <v>271</v>
      </c>
      <c r="F553" s="130">
        <f>F554</f>
        <v>65.3</v>
      </c>
      <c r="G553" s="130">
        <f t="shared" si="69"/>
        <v>0</v>
      </c>
      <c r="H553" s="130">
        <f t="shared" si="69"/>
        <v>85.80000000000001</v>
      </c>
      <c r="I553" s="130">
        <f t="shared" si="69"/>
        <v>85.19999999999999</v>
      </c>
      <c r="J553" s="166">
        <f t="shared" si="67"/>
        <v>0.9930069930069927</v>
      </c>
      <c r="K553" s="223"/>
      <c r="L553" s="224"/>
    </row>
    <row r="554" spans="1:12" ht="37.5">
      <c r="A554" s="132"/>
      <c r="B554" s="132"/>
      <c r="C554" s="132" t="s">
        <v>272</v>
      </c>
      <c r="D554" s="132"/>
      <c r="E554" s="122" t="s">
        <v>273</v>
      </c>
      <c r="F554" s="130">
        <f>F555</f>
        <v>65.3</v>
      </c>
      <c r="G554" s="130">
        <f t="shared" si="69"/>
        <v>0</v>
      </c>
      <c r="H554" s="130">
        <f t="shared" si="69"/>
        <v>85.80000000000001</v>
      </c>
      <c r="I554" s="130">
        <f t="shared" si="69"/>
        <v>85.19999999999999</v>
      </c>
      <c r="J554" s="166">
        <f t="shared" si="67"/>
        <v>0.9930069930069927</v>
      </c>
      <c r="K554" s="223"/>
      <c r="L554" s="224"/>
    </row>
    <row r="555" spans="1:12" ht="18.75">
      <c r="A555" s="132"/>
      <c r="B555" s="132"/>
      <c r="C555" s="125" t="s">
        <v>274</v>
      </c>
      <c r="D555" s="125" t="s">
        <v>766</v>
      </c>
      <c r="E555" s="123" t="s">
        <v>275</v>
      </c>
      <c r="F555" s="115">
        <f>F556+F557</f>
        <v>65.3</v>
      </c>
      <c r="G555" s="115">
        <f>G556+G557</f>
        <v>0</v>
      </c>
      <c r="H555" s="115">
        <f>H556+H557</f>
        <v>85.80000000000001</v>
      </c>
      <c r="I555" s="115">
        <f>I556+I557</f>
        <v>85.19999999999999</v>
      </c>
      <c r="J555" s="167">
        <f t="shared" si="67"/>
        <v>0.9930069930069927</v>
      </c>
      <c r="K555" s="223"/>
      <c r="L555" s="224"/>
    </row>
    <row r="556" spans="1:12" ht="37.5">
      <c r="A556" s="125"/>
      <c r="B556" s="125"/>
      <c r="C556" s="125"/>
      <c r="D556" s="125" t="s">
        <v>46</v>
      </c>
      <c r="E556" s="124" t="s">
        <v>47</v>
      </c>
      <c r="F556" s="115">
        <v>15.5</v>
      </c>
      <c r="G556" s="115"/>
      <c r="H556" s="115">
        <v>19.1</v>
      </c>
      <c r="I556" s="115">
        <v>18.6</v>
      </c>
      <c r="J556" s="167">
        <f t="shared" si="67"/>
        <v>0.9738219895287958</v>
      </c>
      <c r="K556" s="223"/>
      <c r="L556" s="224"/>
    </row>
    <row r="557" spans="1:12" ht="18.75">
      <c r="A557" s="125"/>
      <c r="B557" s="125"/>
      <c r="C557" s="125"/>
      <c r="D557" s="125" t="s">
        <v>27</v>
      </c>
      <c r="E557" s="124" t="s">
        <v>28</v>
      </c>
      <c r="F557" s="115">
        <v>49.8</v>
      </c>
      <c r="G557" s="115"/>
      <c r="H557" s="115">
        <v>66.7</v>
      </c>
      <c r="I557" s="115">
        <v>66.6</v>
      </c>
      <c r="J557" s="167">
        <f t="shared" si="67"/>
        <v>0.9985007496251873</v>
      </c>
      <c r="K557" s="223"/>
      <c r="L557" s="224"/>
    </row>
    <row r="558" spans="1:12" ht="18.75">
      <c r="A558" s="125"/>
      <c r="B558" s="117" t="s">
        <v>351</v>
      </c>
      <c r="C558" s="117"/>
      <c r="D558" s="117"/>
      <c r="E558" s="118" t="s">
        <v>352</v>
      </c>
      <c r="F558" s="130">
        <f>F559</f>
        <v>2572</v>
      </c>
      <c r="G558" s="130">
        <f aca="true" t="shared" si="70" ref="G558:I561">G559</f>
        <v>0</v>
      </c>
      <c r="H558" s="130">
        <f t="shared" si="70"/>
        <v>2138.5</v>
      </c>
      <c r="I558" s="130">
        <f t="shared" si="70"/>
        <v>1609.7</v>
      </c>
      <c r="J558" s="166">
        <f t="shared" si="67"/>
        <v>0.7527238718728081</v>
      </c>
      <c r="K558" s="223"/>
      <c r="L558" s="224"/>
    </row>
    <row r="559" spans="1:12" ht="18.75">
      <c r="A559" s="125"/>
      <c r="B559" s="116" t="s">
        <v>358</v>
      </c>
      <c r="C559" s="117"/>
      <c r="D559" s="117"/>
      <c r="E559" s="118" t="s">
        <v>359</v>
      </c>
      <c r="F559" s="130">
        <f>F560</f>
        <v>2572</v>
      </c>
      <c r="G559" s="130">
        <f t="shared" si="70"/>
        <v>0</v>
      </c>
      <c r="H559" s="130">
        <f t="shared" si="70"/>
        <v>2138.5</v>
      </c>
      <c r="I559" s="130">
        <f t="shared" si="70"/>
        <v>1609.7</v>
      </c>
      <c r="J559" s="166">
        <f t="shared" si="67"/>
        <v>0.7527238718728081</v>
      </c>
      <c r="K559" s="223"/>
      <c r="L559" s="224"/>
    </row>
    <row r="560" spans="1:12" ht="18.75">
      <c r="A560" s="132"/>
      <c r="B560" s="132"/>
      <c r="C560" s="132" t="s">
        <v>167</v>
      </c>
      <c r="D560" s="132" t="s">
        <v>766</v>
      </c>
      <c r="E560" s="122" t="s">
        <v>168</v>
      </c>
      <c r="F560" s="130">
        <f>F561</f>
        <v>2572</v>
      </c>
      <c r="G560" s="130">
        <f t="shared" si="70"/>
        <v>0</v>
      </c>
      <c r="H560" s="130">
        <f t="shared" si="70"/>
        <v>2138.5</v>
      </c>
      <c r="I560" s="130">
        <f t="shared" si="70"/>
        <v>1609.7</v>
      </c>
      <c r="J560" s="166">
        <f t="shared" si="67"/>
        <v>0.7527238718728081</v>
      </c>
      <c r="K560" s="223"/>
      <c r="L560" s="224"/>
    </row>
    <row r="561" spans="1:12" ht="37.5">
      <c r="A561" s="132"/>
      <c r="B561" s="132"/>
      <c r="C561" s="132" t="s">
        <v>209</v>
      </c>
      <c r="D561" s="132" t="s">
        <v>766</v>
      </c>
      <c r="E561" s="122" t="s">
        <v>210</v>
      </c>
      <c r="F561" s="130">
        <f>F562</f>
        <v>2572</v>
      </c>
      <c r="G561" s="130">
        <f t="shared" si="70"/>
        <v>0</v>
      </c>
      <c r="H561" s="130">
        <f t="shared" si="70"/>
        <v>2138.5</v>
      </c>
      <c r="I561" s="130">
        <f t="shared" si="70"/>
        <v>1609.7</v>
      </c>
      <c r="J561" s="166">
        <f t="shared" si="67"/>
        <v>0.7527238718728081</v>
      </c>
      <c r="K561" s="223"/>
      <c r="L561" s="224"/>
    </row>
    <row r="562" spans="1:12" ht="37.5">
      <c r="A562" s="132"/>
      <c r="B562" s="132"/>
      <c r="C562" s="132" t="s">
        <v>211</v>
      </c>
      <c r="D562" s="132"/>
      <c r="E562" s="122" t="s">
        <v>212</v>
      </c>
      <c r="F562" s="130">
        <f>F563+F565</f>
        <v>2572</v>
      </c>
      <c r="G562" s="130">
        <f>G563+G565</f>
        <v>0</v>
      </c>
      <c r="H562" s="130">
        <f>H563+H565</f>
        <v>2138.5</v>
      </c>
      <c r="I562" s="130">
        <f>I563+I565</f>
        <v>1609.7</v>
      </c>
      <c r="J562" s="166">
        <f t="shared" si="67"/>
        <v>0.7527238718728081</v>
      </c>
      <c r="K562" s="223"/>
      <c r="L562" s="224"/>
    </row>
    <row r="563" spans="1:12" ht="18.75">
      <c r="A563" s="132"/>
      <c r="B563" s="132"/>
      <c r="C563" s="125" t="s">
        <v>213</v>
      </c>
      <c r="D563" s="125" t="s">
        <v>766</v>
      </c>
      <c r="E563" s="123" t="s">
        <v>214</v>
      </c>
      <c r="F563" s="115">
        <f>F564</f>
        <v>670</v>
      </c>
      <c r="G563" s="115">
        <f>G564</f>
        <v>0</v>
      </c>
      <c r="H563" s="115">
        <f>H564</f>
        <v>196.5</v>
      </c>
      <c r="I563" s="115">
        <f>I564</f>
        <v>172.3</v>
      </c>
      <c r="J563" s="167">
        <f t="shared" si="67"/>
        <v>0.8768447837150127</v>
      </c>
      <c r="K563" s="223"/>
      <c r="L563" s="224"/>
    </row>
    <row r="564" spans="1:12" ht="18.75">
      <c r="A564" s="125"/>
      <c r="B564" s="125"/>
      <c r="C564" s="125"/>
      <c r="D564" s="125" t="s">
        <v>27</v>
      </c>
      <c r="E564" s="124" t="s">
        <v>28</v>
      </c>
      <c r="F564" s="115">
        <v>670</v>
      </c>
      <c r="G564" s="115"/>
      <c r="H564" s="115">
        <v>196.5</v>
      </c>
      <c r="I564" s="115">
        <v>172.3</v>
      </c>
      <c r="J564" s="167">
        <f t="shared" si="67"/>
        <v>0.8768447837150127</v>
      </c>
      <c r="K564" s="223"/>
      <c r="L564" s="224"/>
    </row>
    <row r="565" spans="1:12" ht="29.25" customHeight="1">
      <c r="A565" s="132"/>
      <c r="B565" s="132"/>
      <c r="C565" s="125" t="s">
        <v>215</v>
      </c>
      <c r="D565" s="125" t="s">
        <v>766</v>
      </c>
      <c r="E565" s="123" t="s">
        <v>216</v>
      </c>
      <c r="F565" s="115">
        <f>F566</f>
        <v>1902</v>
      </c>
      <c r="G565" s="115">
        <f>G566</f>
        <v>0</v>
      </c>
      <c r="H565" s="115">
        <f>H566</f>
        <v>1942</v>
      </c>
      <c r="I565" s="115">
        <f>I566</f>
        <v>1437.4</v>
      </c>
      <c r="J565" s="167">
        <f t="shared" si="67"/>
        <v>0.7401647785787848</v>
      </c>
      <c r="K565" s="223"/>
      <c r="L565" s="224"/>
    </row>
    <row r="566" spans="1:12" ht="18.75">
      <c r="A566" s="125"/>
      <c r="B566" s="125"/>
      <c r="C566" s="125"/>
      <c r="D566" s="125" t="s">
        <v>27</v>
      </c>
      <c r="E566" s="124" t="s">
        <v>28</v>
      </c>
      <c r="F566" s="115">
        <v>1902</v>
      </c>
      <c r="G566" s="115"/>
      <c r="H566" s="115">
        <v>1942</v>
      </c>
      <c r="I566" s="115">
        <v>1437.4</v>
      </c>
      <c r="J566" s="167">
        <f t="shared" si="67"/>
        <v>0.7401647785787848</v>
      </c>
      <c r="K566" s="223"/>
      <c r="L566" s="224"/>
    </row>
    <row r="567" spans="1:12" ht="18.75">
      <c r="A567" s="125"/>
      <c r="B567" s="117" t="s">
        <v>374</v>
      </c>
      <c r="C567" s="128"/>
      <c r="D567" s="128"/>
      <c r="E567" s="118" t="s">
        <v>375</v>
      </c>
      <c r="F567" s="130">
        <f aca="true" t="shared" si="71" ref="F567:I572">F568</f>
        <v>31.5</v>
      </c>
      <c r="G567" s="130">
        <f t="shared" si="71"/>
        <v>0</v>
      </c>
      <c r="H567" s="130">
        <f t="shared" si="71"/>
        <v>11</v>
      </c>
      <c r="I567" s="130">
        <f t="shared" si="71"/>
        <v>11</v>
      </c>
      <c r="J567" s="166">
        <f t="shared" si="67"/>
        <v>1</v>
      </c>
      <c r="K567" s="223"/>
      <c r="L567" s="224"/>
    </row>
    <row r="568" spans="1:12" ht="18.75">
      <c r="A568" s="125"/>
      <c r="B568" s="132" t="s">
        <v>887</v>
      </c>
      <c r="C568" s="132"/>
      <c r="D568" s="132"/>
      <c r="E568" s="134" t="s">
        <v>888</v>
      </c>
      <c r="F568" s="130">
        <f t="shared" si="71"/>
        <v>31.5</v>
      </c>
      <c r="G568" s="130">
        <f t="shared" si="71"/>
        <v>0</v>
      </c>
      <c r="H568" s="130">
        <f t="shared" si="71"/>
        <v>11</v>
      </c>
      <c r="I568" s="130">
        <f t="shared" si="71"/>
        <v>11</v>
      </c>
      <c r="J568" s="166">
        <f t="shared" si="67"/>
        <v>1</v>
      </c>
      <c r="K568" s="223"/>
      <c r="L568" s="224"/>
    </row>
    <row r="569" spans="1:12" ht="37.5">
      <c r="A569" s="125"/>
      <c r="B569" s="125"/>
      <c r="C569" s="132" t="s">
        <v>269</v>
      </c>
      <c r="D569" s="132" t="s">
        <v>766</v>
      </c>
      <c r="E569" s="122" t="s">
        <v>412</v>
      </c>
      <c r="F569" s="130">
        <f t="shared" si="71"/>
        <v>31.5</v>
      </c>
      <c r="G569" s="130">
        <f t="shared" si="71"/>
        <v>0</v>
      </c>
      <c r="H569" s="130">
        <f t="shared" si="71"/>
        <v>11</v>
      </c>
      <c r="I569" s="130">
        <f t="shared" si="71"/>
        <v>11</v>
      </c>
      <c r="J569" s="166">
        <f t="shared" si="67"/>
        <v>1</v>
      </c>
      <c r="K569" s="223"/>
      <c r="L569" s="224"/>
    </row>
    <row r="570" spans="1:12" ht="27" customHeight="1">
      <c r="A570" s="125"/>
      <c r="B570" s="125"/>
      <c r="C570" s="132" t="s">
        <v>270</v>
      </c>
      <c r="D570" s="132" t="s">
        <v>766</v>
      </c>
      <c r="E570" s="122" t="s">
        <v>271</v>
      </c>
      <c r="F570" s="130">
        <f t="shared" si="71"/>
        <v>31.5</v>
      </c>
      <c r="G570" s="130">
        <f t="shared" si="71"/>
        <v>0</v>
      </c>
      <c r="H570" s="130">
        <f t="shared" si="71"/>
        <v>11</v>
      </c>
      <c r="I570" s="130">
        <f t="shared" si="71"/>
        <v>11</v>
      </c>
      <c r="J570" s="166">
        <f t="shared" si="67"/>
        <v>1</v>
      </c>
      <c r="K570" s="223"/>
      <c r="L570" s="224"/>
    </row>
    <row r="571" spans="1:12" ht="37.5">
      <c r="A571" s="125"/>
      <c r="B571" s="125"/>
      <c r="C571" s="132" t="s">
        <v>272</v>
      </c>
      <c r="D571" s="132"/>
      <c r="E571" s="122" t="s">
        <v>273</v>
      </c>
      <c r="F571" s="130">
        <f t="shared" si="71"/>
        <v>31.5</v>
      </c>
      <c r="G571" s="130">
        <f t="shared" si="71"/>
        <v>0</v>
      </c>
      <c r="H571" s="130">
        <f t="shared" si="71"/>
        <v>11</v>
      </c>
      <c r="I571" s="130">
        <f t="shared" si="71"/>
        <v>11</v>
      </c>
      <c r="J571" s="166">
        <f t="shared" si="67"/>
        <v>1</v>
      </c>
      <c r="K571" s="223"/>
      <c r="L571" s="224"/>
    </row>
    <row r="572" spans="1:12" ht="18.75">
      <c r="A572" s="125"/>
      <c r="B572" s="125"/>
      <c r="C572" s="125" t="s">
        <v>274</v>
      </c>
      <c r="D572" s="125" t="s">
        <v>766</v>
      </c>
      <c r="E572" s="123" t="s">
        <v>275</v>
      </c>
      <c r="F572" s="115">
        <f t="shared" si="71"/>
        <v>31.5</v>
      </c>
      <c r="G572" s="115">
        <f t="shared" si="71"/>
        <v>0</v>
      </c>
      <c r="H572" s="115">
        <f t="shared" si="71"/>
        <v>11</v>
      </c>
      <c r="I572" s="115">
        <f t="shared" si="71"/>
        <v>11</v>
      </c>
      <c r="J572" s="167">
        <f t="shared" si="67"/>
        <v>1</v>
      </c>
      <c r="K572" s="223"/>
      <c r="L572" s="224"/>
    </row>
    <row r="573" spans="1:12" ht="18.75">
      <c r="A573" s="125"/>
      <c r="B573" s="125"/>
      <c r="C573" s="125"/>
      <c r="D573" s="125" t="s">
        <v>27</v>
      </c>
      <c r="E573" s="124" t="s">
        <v>28</v>
      </c>
      <c r="F573" s="115">
        <v>31.5</v>
      </c>
      <c r="G573" s="115"/>
      <c r="H573" s="115">
        <v>11</v>
      </c>
      <c r="I573" s="115">
        <v>11</v>
      </c>
      <c r="J573" s="167">
        <f t="shared" si="67"/>
        <v>1</v>
      </c>
      <c r="K573" s="223"/>
      <c r="L573" s="224"/>
    </row>
    <row r="574" spans="1:12" ht="18.75">
      <c r="A574" s="125"/>
      <c r="B574" s="125"/>
      <c r="C574" s="125"/>
      <c r="D574" s="125"/>
      <c r="E574" s="123"/>
      <c r="F574" s="115"/>
      <c r="G574" s="115"/>
      <c r="H574" s="115"/>
      <c r="I574" s="115"/>
      <c r="J574" s="167"/>
      <c r="K574" s="223"/>
      <c r="L574" s="224"/>
    </row>
    <row r="575" spans="1:12" ht="24.75" customHeight="1">
      <c r="A575" s="162" t="s">
        <v>392</v>
      </c>
      <c r="B575" s="162" t="s">
        <v>766</v>
      </c>
      <c r="C575" s="162" t="s">
        <v>766</v>
      </c>
      <c r="D575" s="162" t="s">
        <v>766</v>
      </c>
      <c r="E575" s="163" t="s">
        <v>761</v>
      </c>
      <c r="F575" s="164">
        <f>F576+F607</f>
        <v>19979</v>
      </c>
      <c r="G575" s="164">
        <f>G576+G607</f>
        <v>0</v>
      </c>
      <c r="H575" s="164">
        <f>H576+H607</f>
        <v>20065.5</v>
      </c>
      <c r="I575" s="164">
        <f>I576+I607</f>
        <v>20015.7</v>
      </c>
      <c r="J575" s="165">
        <f aca="true" t="shared" si="72" ref="J575:J613">I575/H575</f>
        <v>0.9975181281303731</v>
      </c>
      <c r="K575" s="223"/>
      <c r="L575" s="224"/>
    </row>
    <row r="576" spans="1:12" ht="18.75">
      <c r="A576" s="132"/>
      <c r="B576" s="117" t="s">
        <v>329</v>
      </c>
      <c r="C576" s="117"/>
      <c r="D576" s="117"/>
      <c r="E576" s="118" t="s">
        <v>330</v>
      </c>
      <c r="F576" s="130">
        <f>F577+F585</f>
        <v>19947</v>
      </c>
      <c r="G576" s="130">
        <f>G577+G585</f>
        <v>0</v>
      </c>
      <c r="H576" s="130">
        <f>H577+H585</f>
        <v>20049.2</v>
      </c>
      <c r="I576" s="130">
        <f>I577+I585</f>
        <v>20000.7</v>
      </c>
      <c r="J576" s="166">
        <f t="shared" si="72"/>
        <v>0.9975809508608823</v>
      </c>
      <c r="K576" s="223"/>
      <c r="L576" s="224"/>
    </row>
    <row r="577" spans="1:12" ht="37.5">
      <c r="A577" s="132"/>
      <c r="B577" s="116" t="s">
        <v>341</v>
      </c>
      <c r="C577" s="117"/>
      <c r="D577" s="117"/>
      <c r="E577" s="118" t="s">
        <v>342</v>
      </c>
      <c r="F577" s="130">
        <f>F578</f>
        <v>13825.100000000002</v>
      </c>
      <c r="G577" s="130">
        <f aca="true" t="shared" si="73" ref="G577:I580">G578</f>
        <v>0</v>
      </c>
      <c r="H577" s="130">
        <f t="shared" si="73"/>
        <v>14019.5</v>
      </c>
      <c r="I577" s="130">
        <f t="shared" si="73"/>
        <v>14018.3</v>
      </c>
      <c r="J577" s="166">
        <f t="shared" si="72"/>
        <v>0.9999144049359819</v>
      </c>
      <c r="K577" s="223"/>
      <c r="L577" s="224"/>
    </row>
    <row r="578" spans="1:12" ht="18.75">
      <c r="A578" s="132"/>
      <c r="B578" s="132"/>
      <c r="C578" s="132" t="s">
        <v>145</v>
      </c>
      <c r="D578" s="132" t="s">
        <v>766</v>
      </c>
      <c r="E578" s="122" t="s">
        <v>146</v>
      </c>
      <c r="F578" s="130">
        <f>F579</f>
        <v>13825.100000000002</v>
      </c>
      <c r="G578" s="130">
        <f t="shared" si="73"/>
        <v>0</v>
      </c>
      <c r="H578" s="130">
        <f t="shared" si="73"/>
        <v>14019.5</v>
      </c>
      <c r="I578" s="130">
        <f t="shared" si="73"/>
        <v>14018.3</v>
      </c>
      <c r="J578" s="166">
        <f t="shared" si="72"/>
        <v>0.9999144049359819</v>
      </c>
      <c r="K578" s="223"/>
      <c r="L578" s="224"/>
    </row>
    <row r="579" spans="1:12" ht="37.5">
      <c r="A579" s="132"/>
      <c r="B579" s="132"/>
      <c r="C579" s="132" t="s">
        <v>162</v>
      </c>
      <c r="D579" s="132" t="s">
        <v>766</v>
      </c>
      <c r="E579" s="122" t="s">
        <v>163</v>
      </c>
      <c r="F579" s="130">
        <f>F580</f>
        <v>13825.100000000002</v>
      </c>
      <c r="G579" s="130">
        <f t="shared" si="73"/>
        <v>0</v>
      </c>
      <c r="H579" s="130">
        <f t="shared" si="73"/>
        <v>14019.5</v>
      </c>
      <c r="I579" s="130">
        <f t="shared" si="73"/>
        <v>14018.3</v>
      </c>
      <c r="J579" s="166">
        <f t="shared" si="72"/>
        <v>0.9999144049359819</v>
      </c>
      <c r="K579" s="223"/>
      <c r="L579" s="224"/>
    </row>
    <row r="580" spans="1:12" ht="37.5">
      <c r="A580" s="132"/>
      <c r="B580" s="132"/>
      <c r="C580" s="132" t="s">
        <v>993</v>
      </c>
      <c r="D580" s="132"/>
      <c r="E580" s="122" t="s">
        <v>42</v>
      </c>
      <c r="F580" s="130">
        <f>F581</f>
        <v>13825.100000000002</v>
      </c>
      <c r="G580" s="130">
        <f t="shared" si="73"/>
        <v>0</v>
      </c>
      <c r="H580" s="130">
        <f t="shared" si="73"/>
        <v>14019.5</v>
      </c>
      <c r="I580" s="130">
        <f t="shared" si="73"/>
        <v>14018.3</v>
      </c>
      <c r="J580" s="166">
        <f t="shared" si="72"/>
        <v>0.9999144049359819</v>
      </c>
      <c r="K580" s="223"/>
      <c r="L580" s="224"/>
    </row>
    <row r="581" spans="1:12" ht="18.75">
      <c r="A581" s="132"/>
      <c r="B581" s="132"/>
      <c r="C581" s="125" t="s">
        <v>165</v>
      </c>
      <c r="D581" s="125" t="s">
        <v>766</v>
      </c>
      <c r="E581" s="123" t="s">
        <v>45</v>
      </c>
      <c r="F581" s="115">
        <f>SUM(F582:F584)</f>
        <v>13825.100000000002</v>
      </c>
      <c r="G581" s="115">
        <f>SUM(G582:G584)</f>
        <v>0</v>
      </c>
      <c r="H581" s="115">
        <f>SUM(H582:H584)</f>
        <v>14019.5</v>
      </c>
      <c r="I581" s="115">
        <f>SUM(I582:I584)</f>
        <v>14018.3</v>
      </c>
      <c r="J581" s="167">
        <f t="shared" si="72"/>
        <v>0.9999144049359819</v>
      </c>
      <c r="K581" s="223"/>
      <c r="L581" s="224"/>
    </row>
    <row r="582" spans="1:12" ht="37.5">
      <c r="A582" s="125"/>
      <c r="B582" s="125"/>
      <c r="C582" s="125"/>
      <c r="D582" s="125" t="s">
        <v>46</v>
      </c>
      <c r="E582" s="124" t="s">
        <v>47</v>
      </c>
      <c r="F582" s="115">
        <f>9878.1+2.1+2953.1</f>
        <v>12833.300000000001</v>
      </c>
      <c r="G582" s="115"/>
      <c r="H582" s="115">
        <v>13102.9</v>
      </c>
      <c r="I582" s="115">
        <v>13101.8</v>
      </c>
      <c r="J582" s="167">
        <f t="shared" si="72"/>
        <v>0.9999160491188973</v>
      </c>
      <c r="K582" s="223"/>
      <c r="L582" s="224"/>
    </row>
    <row r="583" spans="1:12" ht="18.75">
      <c r="A583" s="125"/>
      <c r="B583" s="125"/>
      <c r="C583" s="125"/>
      <c r="D583" s="125" t="s">
        <v>27</v>
      </c>
      <c r="E583" s="124" t="s">
        <v>28</v>
      </c>
      <c r="F583" s="115">
        <f>501.8+480.8</f>
        <v>982.6</v>
      </c>
      <c r="G583" s="115"/>
      <c r="H583" s="115">
        <v>915.5</v>
      </c>
      <c r="I583" s="115">
        <v>915.4</v>
      </c>
      <c r="J583" s="167">
        <f t="shared" si="72"/>
        <v>0.9998907700709995</v>
      </c>
      <c r="K583" s="223"/>
      <c r="L583" s="224"/>
    </row>
    <row r="584" spans="1:12" ht="18.75">
      <c r="A584" s="125"/>
      <c r="B584" s="125"/>
      <c r="C584" s="125"/>
      <c r="D584" s="125" t="s">
        <v>62</v>
      </c>
      <c r="E584" s="124" t="s">
        <v>63</v>
      </c>
      <c r="F584" s="115">
        <f>6.7+2.5</f>
        <v>9.2</v>
      </c>
      <c r="G584" s="115"/>
      <c r="H584" s="115">
        <v>1.1</v>
      </c>
      <c r="I584" s="115">
        <v>1.1</v>
      </c>
      <c r="J584" s="167">
        <f t="shared" si="72"/>
        <v>1</v>
      </c>
      <c r="K584" s="223"/>
      <c r="L584" s="224"/>
    </row>
    <row r="585" spans="1:12" ht="18.75">
      <c r="A585" s="125"/>
      <c r="B585" s="116" t="s">
        <v>333</v>
      </c>
      <c r="C585" s="117"/>
      <c r="D585" s="117"/>
      <c r="E585" s="118" t="s">
        <v>334</v>
      </c>
      <c r="F585" s="130">
        <f>F586+F601</f>
        <v>6121.9</v>
      </c>
      <c r="G585" s="130">
        <f>G586+G601</f>
        <v>0</v>
      </c>
      <c r="H585" s="130">
        <f>H586+H601</f>
        <v>6029.700000000001</v>
      </c>
      <c r="I585" s="130">
        <f>I586+I601</f>
        <v>5982.400000000001</v>
      </c>
      <c r="J585" s="166">
        <f t="shared" si="72"/>
        <v>0.9921554969567308</v>
      </c>
      <c r="K585" s="223"/>
      <c r="L585" s="224"/>
    </row>
    <row r="586" spans="1:12" ht="18.75">
      <c r="A586" s="132"/>
      <c r="B586" s="132"/>
      <c r="C586" s="132" t="s">
        <v>145</v>
      </c>
      <c r="D586" s="132" t="s">
        <v>766</v>
      </c>
      <c r="E586" s="122" t="s">
        <v>146</v>
      </c>
      <c r="F586" s="130">
        <f>F587+F596</f>
        <v>6027.7</v>
      </c>
      <c r="G586" s="130">
        <f>G587+G596</f>
        <v>0</v>
      </c>
      <c r="H586" s="130">
        <f>H587+H596</f>
        <v>5908.1</v>
      </c>
      <c r="I586" s="130">
        <f>I587+I596</f>
        <v>5861.3</v>
      </c>
      <c r="J586" s="166">
        <f t="shared" si="72"/>
        <v>0.9920786716541696</v>
      </c>
      <c r="K586" s="223"/>
      <c r="L586" s="224"/>
    </row>
    <row r="587" spans="1:12" ht="37.5">
      <c r="A587" s="132"/>
      <c r="B587" s="132"/>
      <c r="C587" s="132" t="s">
        <v>153</v>
      </c>
      <c r="D587" s="132" t="s">
        <v>766</v>
      </c>
      <c r="E587" s="122" t="s">
        <v>154</v>
      </c>
      <c r="F587" s="130">
        <f>F588+F591</f>
        <v>955</v>
      </c>
      <c r="G587" s="130">
        <f>G588+G591</f>
        <v>0</v>
      </c>
      <c r="H587" s="130">
        <f>H588+H591</f>
        <v>954.5</v>
      </c>
      <c r="I587" s="130">
        <f>I588+I591</f>
        <v>952.3</v>
      </c>
      <c r="J587" s="166">
        <f t="shared" si="72"/>
        <v>0.9976951283394447</v>
      </c>
      <c r="K587" s="223"/>
      <c r="L587" s="224"/>
    </row>
    <row r="588" spans="1:12" ht="18.75">
      <c r="A588" s="132"/>
      <c r="B588" s="132"/>
      <c r="C588" s="132" t="s">
        <v>155</v>
      </c>
      <c r="D588" s="132"/>
      <c r="E588" s="122" t="s">
        <v>156</v>
      </c>
      <c r="F588" s="130">
        <f aca="true" t="shared" si="74" ref="F588:I589">F589</f>
        <v>377</v>
      </c>
      <c r="G588" s="130">
        <f t="shared" si="74"/>
        <v>0</v>
      </c>
      <c r="H588" s="130">
        <f t="shared" si="74"/>
        <v>433</v>
      </c>
      <c r="I588" s="130">
        <f t="shared" si="74"/>
        <v>430.8</v>
      </c>
      <c r="J588" s="166">
        <f t="shared" si="72"/>
        <v>0.9949191685912241</v>
      </c>
      <c r="K588" s="223"/>
      <c r="L588" s="224"/>
    </row>
    <row r="589" spans="1:12" ht="18.75">
      <c r="A589" s="132"/>
      <c r="B589" s="132"/>
      <c r="C589" s="125" t="s">
        <v>157</v>
      </c>
      <c r="D589" s="125" t="s">
        <v>766</v>
      </c>
      <c r="E589" s="123" t="s">
        <v>158</v>
      </c>
      <c r="F589" s="115">
        <f t="shared" si="74"/>
        <v>377</v>
      </c>
      <c r="G589" s="115">
        <f t="shared" si="74"/>
        <v>0</v>
      </c>
      <c r="H589" s="115">
        <f t="shared" si="74"/>
        <v>433</v>
      </c>
      <c r="I589" s="115">
        <f t="shared" si="74"/>
        <v>430.8</v>
      </c>
      <c r="J589" s="167">
        <f t="shared" si="72"/>
        <v>0.9949191685912241</v>
      </c>
      <c r="K589" s="223"/>
      <c r="L589" s="224"/>
    </row>
    <row r="590" spans="1:12" ht="18.75">
      <c r="A590" s="125"/>
      <c r="B590" s="125"/>
      <c r="C590" s="125"/>
      <c r="D590" s="125" t="s">
        <v>27</v>
      </c>
      <c r="E590" s="124" t="s">
        <v>28</v>
      </c>
      <c r="F590" s="115">
        <v>377</v>
      </c>
      <c r="G590" s="115"/>
      <c r="H590" s="115">
        <v>433</v>
      </c>
      <c r="I590" s="115">
        <v>430.8</v>
      </c>
      <c r="J590" s="167">
        <f t="shared" si="72"/>
        <v>0.9949191685912241</v>
      </c>
      <c r="K590" s="223"/>
      <c r="L590" s="224"/>
    </row>
    <row r="591" spans="1:12" ht="18.75">
      <c r="A591" s="132"/>
      <c r="B591" s="132"/>
      <c r="C591" s="132" t="s">
        <v>159</v>
      </c>
      <c r="D591" s="132"/>
      <c r="E591" s="122" t="s">
        <v>160</v>
      </c>
      <c r="F591" s="130">
        <f>F592+F594</f>
        <v>578</v>
      </c>
      <c r="G591" s="130">
        <f>G592+G594</f>
        <v>0</v>
      </c>
      <c r="H591" s="130">
        <f>H592+H594</f>
        <v>521.5</v>
      </c>
      <c r="I591" s="130">
        <f>I592+I594</f>
        <v>521.5</v>
      </c>
      <c r="J591" s="166">
        <f t="shared" si="72"/>
        <v>1</v>
      </c>
      <c r="K591" s="223"/>
      <c r="L591" s="224"/>
    </row>
    <row r="592" spans="1:12" ht="18.75">
      <c r="A592" s="132"/>
      <c r="B592" s="132"/>
      <c r="C592" s="125" t="s">
        <v>161</v>
      </c>
      <c r="D592" s="125" t="s">
        <v>766</v>
      </c>
      <c r="E592" s="123" t="s">
        <v>806</v>
      </c>
      <c r="F592" s="115">
        <f>F593</f>
        <v>350</v>
      </c>
      <c r="G592" s="115">
        <f>G593</f>
        <v>0</v>
      </c>
      <c r="H592" s="115">
        <f>H593</f>
        <v>388.6</v>
      </c>
      <c r="I592" s="115">
        <f>I593</f>
        <v>388.6</v>
      </c>
      <c r="J592" s="167">
        <f t="shared" si="72"/>
        <v>1</v>
      </c>
      <c r="K592" s="223"/>
      <c r="L592" s="224"/>
    </row>
    <row r="593" spans="1:12" ht="18.75">
      <c r="A593" s="125"/>
      <c r="B593" s="125"/>
      <c r="C593" s="125"/>
      <c r="D593" s="125" t="s">
        <v>27</v>
      </c>
      <c r="E593" s="124" t="s">
        <v>28</v>
      </c>
      <c r="F593" s="115">
        <v>350</v>
      </c>
      <c r="G593" s="115"/>
      <c r="H593" s="115">
        <v>388.6</v>
      </c>
      <c r="I593" s="115">
        <v>388.6</v>
      </c>
      <c r="J593" s="167">
        <f t="shared" si="72"/>
        <v>1</v>
      </c>
      <c r="K593" s="223"/>
      <c r="L593" s="224"/>
    </row>
    <row r="594" spans="1:12" ht="18.75">
      <c r="A594" s="125"/>
      <c r="B594" s="125"/>
      <c r="C594" s="125" t="s">
        <v>807</v>
      </c>
      <c r="D594" s="125"/>
      <c r="E594" s="124" t="s">
        <v>808</v>
      </c>
      <c r="F594" s="115">
        <f>F595</f>
        <v>228</v>
      </c>
      <c r="G594" s="115">
        <f>G595</f>
        <v>0</v>
      </c>
      <c r="H594" s="115">
        <f>H595</f>
        <v>132.9</v>
      </c>
      <c r="I594" s="115">
        <f>I595</f>
        <v>132.9</v>
      </c>
      <c r="J594" s="167">
        <f t="shared" si="72"/>
        <v>1</v>
      </c>
      <c r="K594" s="223"/>
      <c r="L594" s="224"/>
    </row>
    <row r="595" spans="1:12" ht="18.75">
      <c r="A595" s="125"/>
      <c r="B595" s="125"/>
      <c r="C595" s="125"/>
      <c r="D595" s="125" t="s">
        <v>27</v>
      </c>
      <c r="E595" s="124" t="s">
        <v>28</v>
      </c>
      <c r="F595" s="115">
        <v>228</v>
      </c>
      <c r="G595" s="115"/>
      <c r="H595" s="115">
        <v>132.9</v>
      </c>
      <c r="I595" s="115">
        <v>132.9</v>
      </c>
      <c r="J595" s="167">
        <f t="shared" si="72"/>
        <v>1</v>
      </c>
      <c r="K595" s="223"/>
      <c r="L595" s="224"/>
    </row>
    <row r="596" spans="1:12" ht="37.5">
      <c r="A596" s="132"/>
      <c r="B596" s="132"/>
      <c r="C596" s="132" t="s">
        <v>162</v>
      </c>
      <c r="D596" s="132" t="s">
        <v>766</v>
      </c>
      <c r="E596" s="122" t="s">
        <v>163</v>
      </c>
      <c r="F596" s="130">
        <f>F597</f>
        <v>5072.7</v>
      </c>
      <c r="G596" s="130">
        <f aca="true" t="shared" si="75" ref="G596:I598">G597</f>
        <v>0</v>
      </c>
      <c r="H596" s="130">
        <f t="shared" si="75"/>
        <v>4953.6</v>
      </c>
      <c r="I596" s="130">
        <f t="shared" si="75"/>
        <v>4909</v>
      </c>
      <c r="J596" s="166">
        <f t="shared" si="72"/>
        <v>0.9909964470284237</v>
      </c>
      <c r="K596" s="223"/>
      <c r="L596" s="224"/>
    </row>
    <row r="597" spans="1:12" ht="37.5">
      <c r="A597" s="132"/>
      <c r="B597" s="132"/>
      <c r="C597" s="132" t="s">
        <v>164</v>
      </c>
      <c r="D597" s="132"/>
      <c r="E597" s="122" t="s">
        <v>42</v>
      </c>
      <c r="F597" s="130">
        <f>F598</f>
        <v>5072.7</v>
      </c>
      <c r="G597" s="130">
        <f t="shared" si="75"/>
        <v>0</v>
      </c>
      <c r="H597" s="130">
        <f t="shared" si="75"/>
        <v>4953.6</v>
      </c>
      <c r="I597" s="130">
        <f t="shared" si="75"/>
        <v>4909</v>
      </c>
      <c r="J597" s="166">
        <f t="shared" si="72"/>
        <v>0.9909964470284237</v>
      </c>
      <c r="K597" s="223"/>
      <c r="L597" s="224"/>
    </row>
    <row r="598" spans="1:12" ht="18.75">
      <c r="A598" s="132"/>
      <c r="B598" s="132"/>
      <c r="C598" s="125" t="s">
        <v>166</v>
      </c>
      <c r="D598" s="125" t="s">
        <v>766</v>
      </c>
      <c r="E598" s="123" t="s">
        <v>994</v>
      </c>
      <c r="F598" s="115">
        <f>F599</f>
        <v>5072.7</v>
      </c>
      <c r="G598" s="115">
        <f t="shared" si="75"/>
        <v>0</v>
      </c>
      <c r="H598" s="115">
        <f>H599+H600</f>
        <v>4953.6</v>
      </c>
      <c r="I598" s="115">
        <f>I599+I600</f>
        <v>4909</v>
      </c>
      <c r="J598" s="167">
        <f t="shared" si="72"/>
        <v>0.9909964470284237</v>
      </c>
      <c r="K598" s="223"/>
      <c r="L598" s="224"/>
    </row>
    <row r="599" spans="1:12" ht="18.75">
      <c r="A599" s="125"/>
      <c r="B599" s="125"/>
      <c r="C599" s="125"/>
      <c r="D599" s="125" t="s">
        <v>27</v>
      </c>
      <c r="E599" s="124" t="s">
        <v>28</v>
      </c>
      <c r="F599" s="115">
        <v>5072.7</v>
      </c>
      <c r="G599" s="115"/>
      <c r="H599" s="115">
        <v>4732.5</v>
      </c>
      <c r="I599" s="115">
        <v>4687.9</v>
      </c>
      <c r="J599" s="167">
        <f t="shared" si="72"/>
        <v>0.9905758055995774</v>
      </c>
      <c r="K599" s="223"/>
      <c r="L599" s="224"/>
    </row>
    <row r="600" spans="1:12" ht="18.75">
      <c r="A600" s="125"/>
      <c r="B600" s="125"/>
      <c r="C600" s="125"/>
      <c r="D600" s="125" t="s">
        <v>62</v>
      </c>
      <c r="E600" s="124" t="s">
        <v>63</v>
      </c>
      <c r="F600" s="115"/>
      <c r="G600" s="115"/>
      <c r="H600" s="115">
        <v>221.1</v>
      </c>
      <c r="I600" s="115">
        <v>221.1</v>
      </c>
      <c r="J600" s="167">
        <f t="shared" si="72"/>
        <v>1</v>
      </c>
      <c r="K600" s="223"/>
      <c r="L600" s="224"/>
    </row>
    <row r="601" spans="1:12" ht="37.5">
      <c r="A601" s="132"/>
      <c r="B601" s="132"/>
      <c r="C601" s="132" t="s">
        <v>269</v>
      </c>
      <c r="D601" s="132" t="s">
        <v>766</v>
      </c>
      <c r="E601" s="122" t="s">
        <v>412</v>
      </c>
      <c r="F601" s="130">
        <f>F602</f>
        <v>94.2</v>
      </c>
      <c r="G601" s="130">
        <f aca="true" t="shared" si="76" ref="G601:I603">G602</f>
        <v>0</v>
      </c>
      <c r="H601" s="130">
        <f t="shared" si="76"/>
        <v>121.6</v>
      </c>
      <c r="I601" s="130">
        <f t="shared" si="76"/>
        <v>121.1</v>
      </c>
      <c r="J601" s="166">
        <f t="shared" si="72"/>
        <v>0.9958881578947368</v>
      </c>
      <c r="K601" s="223"/>
      <c r="L601" s="224"/>
    </row>
    <row r="602" spans="1:12" ht="26.25" customHeight="1">
      <c r="A602" s="132"/>
      <c r="B602" s="132"/>
      <c r="C602" s="132" t="s">
        <v>270</v>
      </c>
      <c r="D602" s="132" t="s">
        <v>766</v>
      </c>
      <c r="E602" s="122" t="s">
        <v>271</v>
      </c>
      <c r="F602" s="130">
        <f>F603</f>
        <v>94.2</v>
      </c>
      <c r="G602" s="130">
        <f t="shared" si="76"/>
        <v>0</v>
      </c>
      <c r="H602" s="130">
        <f t="shared" si="76"/>
        <v>121.6</v>
      </c>
      <c r="I602" s="130">
        <f t="shared" si="76"/>
        <v>121.1</v>
      </c>
      <c r="J602" s="166">
        <f t="shared" si="72"/>
        <v>0.9958881578947368</v>
      </c>
      <c r="K602" s="223"/>
      <c r="L602" s="224"/>
    </row>
    <row r="603" spans="1:12" ht="37.5">
      <c r="A603" s="132"/>
      <c r="B603" s="132"/>
      <c r="C603" s="132" t="s">
        <v>272</v>
      </c>
      <c r="D603" s="132"/>
      <c r="E603" s="122" t="s">
        <v>273</v>
      </c>
      <c r="F603" s="130">
        <f>F604</f>
        <v>94.2</v>
      </c>
      <c r="G603" s="130">
        <f t="shared" si="76"/>
        <v>0</v>
      </c>
      <c r="H603" s="130">
        <f t="shared" si="76"/>
        <v>121.6</v>
      </c>
      <c r="I603" s="130">
        <f t="shared" si="76"/>
        <v>121.1</v>
      </c>
      <c r="J603" s="166">
        <f t="shared" si="72"/>
        <v>0.9958881578947368</v>
      </c>
      <c r="K603" s="223"/>
      <c r="L603" s="224"/>
    </row>
    <row r="604" spans="1:12" ht="18.75">
      <c r="A604" s="132"/>
      <c r="B604" s="132"/>
      <c r="C604" s="128" t="s">
        <v>274</v>
      </c>
      <c r="D604" s="125" t="s">
        <v>766</v>
      </c>
      <c r="E604" s="123" t="s">
        <v>275</v>
      </c>
      <c r="F604" s="115">
        <f>F605+F606</f>
        <v>94.2</v>
      </c>
      <c r="G604" s="115">
        <f>G605+G606</f>
        <v>0</v>
      </c>
      <c r="H604" s="115">
        <f>H605+H606</f>
        <v>121.6</v>
      </c>
      <c r="I604" s="115">
        <f>I605+I606</f>
        <v>121.1</v>
      </c>
      <c r="J604" s="167">
        <f t="shared" si="72"/>
        <v>0.9958881578947368</v>
      </c>
      <c r="K604" s="223"/>
      <c r="L604" s="224"/>
    </row>
    <row r="605" spans="1:12" ht="37.5">
      <c r="A605" s="125"/>
      <c r="B605" s="125"/>
      <c r="C605" s="125"/>
      <c r="D605" s="125" t="s">
        <v>46</v>
      </c>
      <c r="E605" s="124" t="s">
        <v>47</v>
      </c>
      <c r="F605" s="115">
        <v>1.4</v>
      </c>
      <c r="G605" s="115"/>
      <c r="H605" s="115">
        <v>31.3</v>
      </c>
      <c r="I605" s="115">
        <v>31.3</v>
      </c>
      <c r="J605" s="167">
        <f t="shared" si="72"/>
        <v>1</v>
      </c>
      <c r="K605" s="223"/>
      <c r="L605" s="224"/>
    </row>
    <row r="606" spans="1:12" ht="18.75">
      <c r="A606" s="125"/>
      <c r="B606" s="125"/>
      <c r="C606" s="125"/>
      <c r="D606" s="125" t="s">
        <v>27</v>
      </c>
      <c r="E606" s="124" t="s">
        <v>28</v>
      </c>
      <c r="F606" s="115">
        <f>124.8-32</f>
        <v>92.8</v>
      </c>
      <c r="G606" s="115"/>
      <c r="H606" s="115">
        <v>90.3</v>
      </c>
      <c r="I606" s="115">
        <v>89.8</v>
      </c>
      <c r="J606" s="167">
        <f t="shared" si="72"/>
        <v>0.9944629014396457</v>
      </c>
      <c r="K606" s="223"/>
      <c r="L606" s="224"/>
    </row>
    <row r="607" spans="1:12" ht="18.75">
      <c r="A607" s="125"/>
      <c r="B607" s="117" t="s">
        <v>374</v>
      </c>
      <c r="C607" s="128"/>
      <c r="D607" s="128"/>
      <c r="E607" s="118" t="s">
        <v>375</v>
      </c>
      <c r="F607" s="130">
        <f aca="true" t="shared" si="77" ref="F607:I612">F608</f>
        <v>32</v>
      </c>
      <c r="G607" s="130">
        <f t="shared" si="77"/>
        <v>0</v>
      </c>
      <c r="H607" s="130">
        <f t="shared" si="77"/>
        <v>16.3</v>
      </c>
      <c r="I607" s="130">
        <f t="shared" si="77"/>
        <v>15</v>
      </c>
      <c r="J607" s="166">
        <f t="shared" si="72"/>
        <v>0.920245398773006</v>
      </c>
      <c r="K607" s="223"/>
      <c r="L607" s="224"/>
    </row>
    <row r="608" spans="1:12" ht="18.75">
      <c r="A608" s="125"/>
      <c r="B608" s="132" t="s">
        <v>887</v>
      </c>
      <c r="C608" s="132"/>
      <c r="D608" s="132"/>
      <c r="E608" s="134" t="s">
        <v>888</v>
      </c>
      <c r="F608" s="130">
        <f t="shared" si="77"/>
        <v>32</v>
      </c>
      <c r="G608" s="130">
        <f t="shared" si="77"/>
        <v>0</v>
      </c>
      <c r="H608" s="130">
        <f t="shared" si="77"/>
        <v>16.3</v>
      </c>
      <c r="I608" s="130">
        <f t="shared" si="77"/>
        <v>15</v>
      </c>
      <c r="J608" s="166">
        <f t="shared" si="72"/>
        <v>0.920245398773006</v>
      </c>
      <c r="K608" s="223"/>
      <c r="L608" s="224"/>
    </row>
    <row r="609" spans="1:12" ht="37.5">
      <c r="A609" s="125"/>
      <c r="B609" s="125"/>
      <c r="C609" s="132" t="s">
        <v>269</v>
      </c>
      <c r="D609" s="132" t="s">
        <v>766</v>
      </c>
      <c r="E609" s="122" t="s">
        <v>412</v>
      </c>
      <c r="F609" s="130">
        <f t="shared" si="77"/>
        <v>32</v>
      </c>
      <c r="G609" s="130">
        <f t="shared" si="77"/>
        <v>0</v>
      </c>
      <c r="H609" s="130">
        <f t="shared" si="77"/>
        <v>16.3</v>
      </c>
      <c r="I609" s="130">
        <f t="shared" si="77"/>
        <v>15</v>
      </c>
      <c r="J609" s="166">
        <f t="shared" si="72"/>
        <v>0.920245398773006</v>
      </c>
      <c r="K609" s="223"/>
      <c r="L609" s="224"/>
    </row>
    <row r="610" spans="1:12" ht="26.25" customHeight="1">
      <c r="A610" s="125"/>
      <c r="B610" s="125"/>
      <c r="C610" s="132" t="s">
        <v>270</v>
      </c>
      <c r="D610" s="132" t="s">
        <v>766</v>
      </c>
      <c r="E610" s="122" t="s">
        <v>271</v>
      </c>
      <c r="F610" s="130">
        <f t="shared" si="77"/>
        <v>32</v>
      </c>
      <c r="G610" s="130">
        <f t="shared" si="77"/>
        <v>0</v>
      </c>
      <c r="H610" s="130">
        <f t="shared" si="77"/>
        <v>16.3</v>
      </c>
      <c r="I610" s="130">
        <f t="shared" si="77"/>
        <v>15</v>
      </c>
      <c r="J610" s="166">
        <f t="shared" si="72"/>
        <v>0.920245398773006</v>
      </c>
      <c r="K610" s="223"/>
      <c r="L610" s="224"/>
    </row>
    <row r="611" spans="1:12" ht="37.5">
      <c r="A611" s="125"/>
      <c r="B611" s="125"/>
      <c r="C611" s="132" t="s">
        <v>272</v>
      </c>
      <c r="D611" s="132"/>
      <c r="E611" s="122" t="s">
        <v>273</v>
      </c>
      <c r="F611" s="130">
        <f t="shared" si="77"/>
        <v>32</v>
      </c>
      <c r="G611" s="130">
        <f t="shared" si="77"/>
        <v>0</v>
      </c>
      <c r="H611" s="130">
        <f t="shared" si="77"/>
        <v>16.3</v>
      </c>
      <c r="I611" s="130">
        <f t="shared" si="77"/>
        <v>15</v>
      </c>
      <c r="J611" s="166">
        <f t="shared" si="72"/>
        <v>0.920245398773006</v>
      </c>
      <c r="K611" s="223"/>
      <c r="L611" s="224"/>
    </row>
    <row r="612" spans="1:12" ht="18.75">
      <c r="A612" s="125"/>
      <c r="B612" s="125"/>
      <c r="C612" s="125" t="s">
        <v>274</v>
      </c>
      <c r="D612" s="125" t="s">
        <v>766</v>
      </c>
      <c r="E612" s="123" t="s">
        <v>275</v>
      </c>
      <c r="F612" s="115">
        <f t="shared" si="77"/>
        <v>32</v>
      </c>
      <c r="G612" s="115">
        <f t="shared" si="77"/>
        <v>0</v>
      </c>
      <c r="H612" s="115">
        <f t="shared" si="77"/>
        <v>16.3</v>
      </c>
      <c r="I612" s="115">
        <f t="shared" si="77"/>
        <v>15</v>
      </c>
      <c r="J612" s="167">
        <f t="shared" si="72"/>
        <v>0.920245398773006</v>
      </c>
      <c r="K612" s="223"/>
      <c r="L612" s="224"/>
    </row>
    <row r="613" spans="1:12" ht="18.75">
      <c r="A613" s="125"/>
      <c r="B613" s="125"/>
      <c r="C613" s="125"/>
      <c r="D613" s="125" t="s">
        <v>27</v>
      </c>
      <c r="E613" s="124" t="s">
        <v>28</v>
      </c>
      <c r="F613" s="115">
        <v>32</v>
      </c>
      <c r="G613" s="115"/>
      <c r="H613" s="115">
        <v>16.3</v>
      </c>
      <c r="I613" s="115">
        <v>15</v>
      </c>
      <c r="J613" s="167">
        <f t="shared" si="72"/>
        <v>0.920245398773006</v>
      </c>
      <c r="K613" s="223"/>
      <c r="L613" s="224"/>
    </row>
    <row r="614" spans="1:12" ht="18.75">
      <c r="A614" s="125"/>
      <c r="B614" s="125"/>
      <c r="C614" s="125"/>
      <c r="D614" s="125"/>
      <c r="E614" s="123"/>
      <c r="F614" s="115"/>
      <c r="G614" s="115"/>
      <c r="H614" s="115"/>
      <c r="I614" s="115"/>
      <c r="J614" s="167"/>
      <c r="K614" s="223"/>
      <c r="L614" s="224"/>
    </row>
    <row r="615" spans="1:12" ht="26.25" customHeight="1">
      <c r="A615" s="162" t="s">
        <v>393</v>
      </c>
      <c r="B615" s="162" t="s">
        <v>766</v>
      </c>
      <c r="C615" s="162" t="s">
        <v>766</v>
      </c>
      <c r="D615" s="162" t="s">
        <v>766</v>
      </c>
      <c r="E615" s="163" t="s">
        <v>13</v>
      </c>
      <c r="F615" s="164" t="e">
        <f>F616+F631+F810</f>
        <v>#REF!</v>
      </c>
      <c r="G615" s="164" t="e">
        <f>G616+G631+G810</f>
        <v>#REF!</v>
      </c>
      <c r="H615" s="164">
        <f>H616+H624+H631+H810+H837</f>
        <v>1334439.4858100004</v>
      </c>
      <c r="I615" s="164">
        <f>I616+I624+I631+I810+I837</f>
        <v>1263232.47581</v>
      </c>
      <c r="J615" s="165">
        <f aca="true" t="shared" si="78" ref="J615:J645">I615/H615</f>
        <v>0.9466390115421547</v>
      </c>
      <c r="K615" s="223"/>
      <c r="L615" s="224"/>
    </row>
    <row r="616" spans="1:12" ht="18.75">
      <c r="A616" s="132"/>
      <c r="B616" s="117" t="s">
        <v>329</v>
      </c>
      <c r="C616" s="117"/>
      <c r="D616" s="117"/>
      <c r="E616" s="118" t="s">
        <v>330</v>
      </c>
      <c r="F616" s="130">
        <f>F617</f>
        <v>53.6</v>
      </c>
      <c r="G616" s="130">
        <f aca="true" t="shared" si="79" ref="G616:I620">G617</f>
        <v>0</v>
      </c>
      <c r="H616" s="130">
        <f t="shared" si="79"/>
        <v>61.5</v>
      </c>
      <c r="I616" s="130">
        <f t="shared" si="79"/>
        <v>58.2</v>
      </c>
      <c r="J616" s="166">
        <f t="shared" si="78"/>
        <v>0.9463414634146342</v>
      </c>
      <c r="K616" s="223"/>
      <c r="L616" s="224"/>
    </row>
    <row r="617" spans="1:12" ht="18.75">
      <c r="A617" s="132"/>
      <c r="B617" s="116" t="s">
        <v>333</v>
      </c>
      <c r="C617" s="117"/>
      <c r="D617" s="117"/>
      <c r="E617" s="118" t="s">
        <v>334</v>
      </c>
      <c r="F617" s="130">
        <f>F618</f>
        <v>53.6</v>
      </c>
      <c r="G617" s="130">
        <f t="shared" si="79"/>
        <v>0</v>
      </c>
      <c r="H617" s="130">
        <f t="shared" si="79"/>
        <v>61.5</v>
      </c>
      <c r="I617" s="130">
        <f t="shared" si="79"/>
        <v>58.2</v>
      </c>
      <c r="J617" s="166">
        <f t="shared" si="78"/>
        <v>0.9463414634146342</v>
      </c>
      <c r="K617" s="223"/>
      <c r="L617" s="224"/>
    </row>
    <row r="618" spans="1:12" ht="37.5">
      <c r="A618" s="132"/>
      <c r="B618" s="132"/>
      <c r="C618" s="132" t="s">
        <v>269</v>
      </c>
      <c r="D618" s="132" t="s">
        <v>766</v>
      </c>
      <c r="E618" s="122" t="s">
        <v>412</v>
      </c>
      <c r="F618" s="130">
        <f>F619</f>
        <v>53.6</v>
      </c>
      <c r="G618" s="130">
        <f t="shared" si="79"/>
        <v>0</v>
      </c>
      <c r="H618" s="130">
        <f t="shared" si="79"/>
        <v>61.5</v>
      </c>
      <c r="I618" s="130">
        <f t="shared" si="79"/>
        <v>58.2</v>
      </c>
      <c r="J618" s="166">
        <f t="shared" si="78"/>
        <v>0.9463414634146342</v>
      </c>
      <c r="K618" s="223"/>
      <c r="L618" s="224"/>
    </row>
    <row r="619" spans="1:12" ht="29.25" customHeight="1">
      <c r="A619" s="132"/>
      <c r="B619" s="132"/>
      <c r="C619" s="132" t="s">
        <v>270</v>
      </c>
      <c r="D619" s="132" t="s">
        <v>766</v>
      </c>
      <c r="E619" s="122" t="s">
        <v>271</v>
      </c>
      <c r="F619" s="130">
        <f>F620</f>
        <v>53.6</v>
      </c>
      <c r="G619" s="130">
        <f t="shared" si="79"/>
        <v>0</v>
      </c>
      <c r="H619" s="130">
        <f t="shared" si="79"/>
        <v>61.5</v>
      </c>
      <c r="I619" s="130">
        <f t="shared" si="79"/>
        <v>58.2</v>
      </c>
      <c r="J619" s="166">
        <f t="shared" si="78"/>
        <v>0.9463414634146342</v>
      </c>
      <c r="K619" s="223"/>
      <c r="L619" s="224"/>
    </row>
    <row r="620" spans="1:12" ht="37.5">
      <c r="A620" s="132"/>
      <c r="B620" s="132"/>
      <c r="C620" s="132" t="s">
        <v>272</v>
      </c>
      <c r="D620" s="132"/>
      <c r="E620" s="122" t="s">
        <v>273</v>
      </c>
      <c r="F620" s="130">
        <f>F621</f>
        <v>53.6</v>
      </c>
      <c r="G620" s="130">
        <f t="shared" si="79"/>
        <v>0</v>
      </c>
      <c r="H620" s="130">
        <f t="shared" si="79"/>
        <v>61.5</v>
      </c>
      <c r="I620" s="130">
        <f t="shared" si="79"/>
        <v>58.2</v>
      </c>
      <c r="J620" s="166">
        <f t="shared" si="78"/>
        <v>0.9463414634146342</v>
      </c>
      <c r="K620" s="223"/>
      <c r="L620" s="224"/>
    </row>
    <row r="621" spans="1:12" ht="18.75">
      <c r="A621" s="132"/>
      <c r="B621" s="132"/>
      <c r="C621" s="125" t="s">
        <v>274</v>
      </c>
      <c r="D621" s="125" t="s">
        <v>766</v>
      </c>
      <c r="E621" s="123" t="s">
        <v>275</v>
      </c>
      <c r="F621" s="115">
        <f>F622+F623</f>
        <v>53.6</v>
      </c>
      <c r="G621" s="115">
        <f>G622+G623</f>
        <v>0</v>
      </c>
      <c r="H621" s="115">
        <f>H622+H623</f>
        <v>61.5</v>
      </c>
      <c r="I621" s="115">
        <f>I622+I623</f>
        <v>58.2</v>
      </c>
      <c r="J621" s="167">
        <f t="shared" si="78"/>
        <v>0.9463414634146342</v>
      </c>
      <c r="K621" s="223"/>
      <c r="L621" s="224"/>
    </row>
    <row r="622" spans="1:12" ht="37.5">
      <c r="A622" s="125"/>
      <c r="B622" s="125"/>
      <c r="C622" s="125"/>
      <c r="D622" s="125" t="s">
        <v>46</v>
      </c>
      <c r="E622" s="124" t="s">
        <v>47</v>
      </c>
      <c r="F622" s="115">
        <v>12</v>
      </c>
      <c r="G622" s="115"/>
      <c r="H622" s="115">
        <v>26.9</v>
      </c>
      <c r="I622" s="115">
        <v>23.6</v>
      </c>
      <c r="J622" s="167">
        <f t="shared" si="78"/>
        <v>0.8773234200743495</v>
      </c>
      <c r="K622" s="223"/>
      <c r="L622" s="224"/>
    </row>
    <row r="623" spans="1:12" ht="18.75">
      <c r="A623" s="125"/>
      <c r="B623" s="125"/>
      <c r="C623" s="125"/>
      <c r="D623" s="125" t="s">
        <v>27</v>
      </c>
      <c r="E623" s="124" t="s">
        <v>28</v>
      </c>
      <c r="F623" s="115">
        <v>41.6</v>
      </c>
      <c r="G623" s="115"/>
      <c r="H623" s="115">
        <v>34.6</v>
      </c>
      <c r="I623" s="115">
        <v>34.6</v>
      </c>
      <c r="J623" s="167">
        <f t="shared" si="78"/>
        <v>1</v>
      </c>
      <c r="K623" s="223"/>
      <c r="L623" s="224"/>
    </row>
    <row r="624" spans="1:12" ht="18.75">
      <c r="A624" s="125"/>
      <c r="B624" s="117" t="s">
        <v>360</v>
      </c>
      <c r="C624" s="117"/>
      <c r="D624" s="117"/>
      <c r="E624" s="118" t="s">
        <v>361</v>
      </c>
      <c r="F624" s="115"/>
      <c r="G624" s="115"/>
      <c r="H624" s="130">
        <f aca="true" t="shared" si="80" ref="H624:I629">H625</f>
        <v>2508.1</v>
      </c>
      <c r="I624" s="130">
        <f t="shared" si="80"/>
        <v>2508.1</v>
      </c>
      <c r="J624" s="166">
        <f t="shared" si="78"/>
        <v>1</v>
      </c>
      <c r="K624" s="223"/>
      <c r="L624" s="224"/>
    </row>
    <row r="625" spans="1:12" ht="18.75">
      <c r="A625" s="125"/>
      <c r="B625" s="117" t="s">
        <v>366</v>
      </c>
      <c r="C625" s="117"/>
      <c r="D625" s="117"/>
      <c r="E625" s="118" t="s">
        <v>367</v>
      </c>
      <c r="F625" s="115"/>
      <c r="G625" s="115"/>
      <c r="H625" s="130">
        <f t="shared" si="80"/>
        <v>2508.1</v>
      </c>
      <c r="I625" s="130">
        <f t="shared" si="80"/>
        <v>2508.1</v>
      </c>
      <c r="J625" s="166">
        <f t="shared" si="78"/>
        <v>1</v>
      </c>
      <c r="K625" s="223"/>
      <c r="L625" s="224"/>
    </row>
    <row r="626" spans="1:12" ht="18.75">
      <c r="A626" s="125"/>
      <c r="B626" s="117"/>
      <c r="C626" s="132" t="s">
        <v>16</v>
      </c>
      <c r="D626" s="132" t="s">
        <v>766</v>
      </c>
      <c r="E626" s="122" t="s">
        <v>17</v>
      </c>
      <c r="F626" s="115"/>
      <c r="G626" s="115"/>
      <c r="H626" s="130">
        <f t="shared" si="80"/>
        <v>2508.1</v>
      </c>
      <c r="I626" s="130">
        <f t="shared" si="80"/>
        <v>2508.1</v>
      </c>
      <c r="J626" s="166">
        <f t="shared" si="78"/>
        <v>1</v>
      </c>
      <c r="K626" s="223"/>
      <c r="L626" s="224"/>
    </row>
    <row r="627" spans="1:12" ht="18.75">
      <c r="A627" s="125"/>
      <c r="B627" s="117"/>
      <c r="C627" s="132" t="s">
        <v>18</v>
      </c>
      <c r="D627" s="132" t="s">
        <v>766</v>
      </c>
      <c r="E627" s="122" t="s">
        <v>19</v>
      </c>
      <c r="F627" s="115"/>
      <c r="G627" s="115"/>
      <c r="H627" s="130">
        <f t="shared" si="80"/>
        <v>2508.1</v>
      </c>
      <c r="I627" s="130">
        <f t="shared" si="80"/>
        <v>2508.1</v>
      </c>
      <c r="J627" s="166">
        <f t="shared" si="78"/>
        <v>1</v>
      </c>
      <c r="K627" s="223"/>
      <c r="L627" s="224"/>
    </row>
    <row r="628" spans="1:12" ht="45" customHeight="1">
      <c r="A628" s="125"/>
      <c r="B628" s="117"/>
      <c r="C628" s="132" t="s">
        <v>20</v>
      </c>
      <c r="D628" s="132"/>
      <c r="E628" s="122" t="s">
        <v>934</v>
      </c>
      <c r="F628" s="115"/>
      <c r="G628" s="115"/>
      <c r="H628" s="130">
        <f t="shared" si="80"/>
        <v>2508.1</v>
      </c>
      <c r="I628" s="130">
        <f t="shared" si="80"/>
        <v>2508.1</v>
      </c>
      <c r="J628" s="166">
        <f t="shared" si="78"/>
        <v>1</v>
      </c>
      <c r="K628" s="223"/>
      <c r="L628" s="224"/>
    </row>
    <row r="629" spans="1:12" ht="18.75">
      <c r="A629" s="125"/>
      <c r="B629" s="117"/>
      <c r="C629" s="128" t="s">
        <v>789</v>
      </c>
      <c r="D629" s="128"/>
      <c r="E629" s="129" t="s">
        <v>935</v>
      </c>
      <c r="F629" s="115"/>
      <c r="G629" s="115"/>
      <c r="H629" s="115">
        <f t="shared" si="80"/>
        <v>2508.1</v>
      </c>
      <c r="I629" s="115">
        <f>I630</f>
        <v>2508.1</v>
      </c>
      <c r="J629" s="167">
        <f t="shared" si="78"/>
        <v>1</v>
      </c>
      <c r="K629" s="223"/>
      <c r="L629" s="224"/>
    </row>
    <row r="630" spans="1:12" ht="18.75">
      <c r="A630" s="125"/>
      <c r="B630" s="117"/>
      <c r="C630" s="125"/>
      <c r="D630" s="125" t="s">
        <v>27</v>
      </c>
      <c r="E630" s="124" t="s">
        <v>28</v>
      </c>
      <c r="F630" s="115"/>
      <c r="G630" s="115"/>
      <c r="H630" s="115">
        <v>2508.1</v>
      </c>
      <c r="I630" s="115">
        <v>2508.1</v>
      </c>
      <c r="J630" s="167">
        <f t="shared" si="78"/>
        <v>1</v>
      </c>
      <c r="K630" s="223"/>
      <c r="L630" s="224"/>
    </row>
    <row r="631" spans="1:12" ht="18.75">
      <c r="A631" s="125"/>
      <c r="B631" s="117" t="s">
        <v>374</v>
      </c>
      <c r="C631" s="117"/>
      <c r="D631" s="117"/>
      <c r="E631" s="118" t="s">
        <v>375</v>
      </c>
      <c r="F631" s="130" t="e">
        <f>F632+F682+F737+F762+F773</f>
        <v>#REF!</v>
      </c>
      <c r="G631" s="130" t="e">
        <f>G632+G682+G737+G762+G773</f>
        <v>#REF!</v>
      </c>
      <c r="H631" s="130">
        <f>H632+H682+H737+H762+H773</f>
        <v>1282336.1047400003</v>
      </c>
      <c r="I631" s="130">
        <f>I632+I682+I737+I762+I773</f>
        <v>1213938.5447399998</v>
      </c>
      <c r="J631" s="166">
        <f t="shared" si="78"/>
        <v>0.9466617529154976</v>
      </c>
      <c r="K631" s="223"/>
      <c r="L631" s="224"/>
    </row>
    <row r="632" spans="1:12" ht="18.75">
      <c r="A632" s="125"/>
      <c r="B632" s="116" t="s">
        <v>394</v>
      </c>
      <c r="C632" s="117"/>
      <c r="D632" s="117"/>
      <c r="E632" s="118" t="s">
        <v>395</v>
      </c>
      <c r="F632" s="130">
        <f>F633+F671</f>
        <v>524361.9</v>
      </c>
      <c r="G632" s="130">
        <f>G633+G671</f>
        <v>-529.9</v>
      </c>
      <c r="H632" s="130">
        <f>H633+H671</f>
        <v>577471.4047400001</v>
      </c>
      <c r="I632" s="130">
        <f>I633+I671</f>
        <v>544185.8447400001</v>
      </c>
      <c r="J632" s="166">
        <f t="shared" si="78"/>
        <v>0.9423598125781024</v>
      </c>
      <c r="K632" s="223"/>
      <c r="L632" s="224"/>
    </row>
    <row r="633" spans="1:12" ht="18.75">
      <c r="A633" s="132"/>
      <c r="B633" s="132"/>
      <c r="C633" s="132" t="s">
        <v>16</v>
      </c>
      <c r="D633" s="132" t="s">
        <v>766</v>
      </c>
      <c r="E633" s="122" t="s">
        <v>17</v>
      </c>
      <c r="F633" s="130">
        <f>F634+F661</f>
        <v>521010.30000000005</v>
      </c>
      <c r="G633" s="130">
        <f>G634+G661</f>
        <v>-529.9</v>
      </c>
      <c r="H633" s="130">
        <f>H634+H661</f>
        <v>574922.1047400001</v>
      </c>
      <c r="I633" s="130">
        <f>I634+I661</f>
        <v>541636.54474</v>
      </c>
      <c r="J633" s="166">
        <f t="shared" si="78"/>
        <v>0.942104226423764</v>
      </c>
      <c r="K633" s="223"/>
      <c r="L633" s="224"/>
    </row>
    <row r="634" spans="1:12" ht="18.75">
      <c r="A634" s="132"/>
      <c r="B634" s="132"/>
      <c r="C634" s="132" t="s">
        <v>18</v>
      </c>
      <c r="D634" s="132" t="s">
        <v>766</v>
      </c>
      <c r="E634" s="122" t="s">
        <v>19</v>
      </c>
      <c r="F634" s="130">
        <f>F635</f>
        <v>18422.9</v>
      </c>
      <c r="G634" s="130">
        <f>G635</f>
        <v>0</v>
      </c>
      <c r="H634" s="130">
        <f>H635+H658</f>
        <v>20963.904739999998</v>
      </c>
      <c r="I634" s="130">
        <f>I635+I658</f>
        <v>20952.94474</v>
      </c>
      <c r="J634" s="166">
        <f t="shared" si="78"/>
        <v>0.9994771966322148</v>
      </c>
      <c r="K634" s="223"/>
      <c r="L634" s="224"/>
    </row>
    <row r="635" spans="1:12" ht="40.5" customHeight="1">
      <c r="A635" s="132"/>
      <c r="B635" s="132"/>
      <c r="C635" s="132" t="s">
        <v>20</v>
      </c>
      <c r="D635" s="132"/>
      <c r="E635" s="122" t="s">
        <v>934</v>
      </c>
      <c r="F635" s="130">
        <f>F636+F638+F640+F642</f>
        <v>18422.9</v>
      </c>
      <c r="G635" s="130">
        <f>G636+G638+G640+G642</f>
        <v>0</v>
      </c>
      <c r="H635" s="130">
        <f>H636+H638+H640+H642+H644+H651</f>
        <v>20957.904739999998</v>
      </c>
      <c r="I635" s="130">
        <f>I636+I638+I640+I642+I644+I651</f>
        <v>20946.94474</v>
      </c>
      <c r="J635" s="166">
        <f t="shared" si="78"/>
        <v>0.9994770469598003</v>
      </c>
      <c r="K635" s="223"/>
      <c r="L635" s="224"/>
    </row>
    <row r="636" spans="1:12" ht="18.75">
      <c r="A636" s="132"/>
      <c r="B636" s="132"/>
      <c r="C636" s="125" t="s">
        <v>809</v>
      </c>
      <c r="D636" s="125" t="s">
        <v>766</v>
      </c>
      <c r="E636" s="123" t="s">
        <v>995</v>
      </c>
      <c r="F636" s="115">
        <f>F637</f>
        <v>11552.3</v>
      </c>
      <c r="G636" s="115">
        <f>G637</f>
        <v>0</v>
      </c>
      <c r="H636" s="115">
        <f>H637</f>
        <v>11552.26</v>
      </c>
      <c r="I636" s="115">
        <f>I637</f>
        <v>11552.3</v>
      </c>
      <c r="J636" s="167">
        <f t="shared" si="78"/>
        <v>1.0000034625259473</v>
      </c>
      <c r="K636" s="223"/>
      <c r="L636" s="224"/>
    </row>
    <row r="637" spans="1:12" ht="18.75">
      <c r="A637" s="125"/>
      <c r="B637" s="125"/>
      <c r="C637" s="125"/>
      <c r="D637" s="125" t="s">
        <v>62</v>
      </c>
      <c r="E637" s="124" t="s">
        <v>63</v>
      </c>
      <c r="F637" s="115">
        <v>11552.3</v>
      </c>
      <c r="G637" s="115"/>
      <c r="H637" s="115">
        <v>11552.26</v>
      </c>
      <c r="I637" s="115">
        <v>11552.3</v>
      </c>
      <c r="J637" s="167">
        <f t="shared" si="78"/>
        <v>1.0000034625259473</v>
      </c>
      <c r="K637" s="223"/>
      <c r="L637" s="224"/>
    </row>
    <row r="638" spans="1:12" ht="18.75">
      <c r="A638" s="132"/>
      <c r="B638" s="132"/>
      <c r="C638" s="125" t="s">
        <v>23</v>
      </c>
      <c r="D638" s="125"/>
      <c r="E638" s="123" t="s">
        <v>450</v>
      </c>
      <c r="F638" s="115">
        <f>F639</f>
        <v>200</v>
      </c>
      <c r="G638" s="115">
        <f>G639</f>
        <v>0</v>
      </c>
      <c r="H638" s="115">
        <f>H639</f>
        <v>180.1</v>
      </c>
      <c r="I638" s="115">
        <f>I639</f>
        <v>179.3</v>
      </c>
      <c r="J638" s="167">
        <f t="shared" si="78"/>
        <v>0.9955580233203777</v>
      </c>
      <c r="K638" s="223"/>
      <c r="L638" s="224"/>
    </row>
    <row r="639" spans="1:12" ht="18.75">
      <c r="A639" s="125"/>
      <c r="B639" s="125"/>
      <c r="C639" s="125"/>
      <c r="D639" s="125" t="s">
        <v>21</v>
      </c>
      <c r="E639" s="124" t="s">
        <v>22</v>
      </c>
      <c r="F639" s="115">
        <v>200</v>
      </c>
      <c r="G639" s="115"/>
      <c r="H639" s="115">
        <v>180.1</v>
      </c>
      <c r="I639" s="115">
        <v>179.3</v>
      </c>
      <c r="J639" s="167">
        <f t="shared" si="78"/>
        <v>0.9955580233203777</v>
      </c>
      <c r="K639" s="223"/>
      <c r="L639" s="224"/>
    </row>
    <row r="640" spans="1:12" ht="18.75">
      <c r="A640" s="132"/>
      <c r="B640" s="132"/>
      <c r="C640" s="125" t="s">
        <v>396</v>
      </c>
      <c r="D640" s="125"/>
      <c r="E640" s="123" t="s">
        <v>810</v>
      </c>
      <c r="F640" s="115">
        <f>F641</f>
        <v>200</v>
      </c>
      <c r="G640" s="115">
        <f>G641</f>
        <v>0</v>
      </c>
      <c r="H640" s="115">
        <f>H641</f>
        <v>150</v>
      </c>
      <c r="I640" s="115">
        <f>I641</f>
        <v>149.9</v>
      </c>
      <c r="J640" s="167">
        <f t="shared" si="78"/>
        <v>0.9993333333333334</v>
      </c>
      <c r="K640" s="223"/>
      <c r="L640" s="224"/>
    </row>
    <row r="641" spans="1:12" ht="18.75">
      <c r="A641" s="125"/>
      <c r="B641" s="125"/>
      <c r="C641" s="125"/>
      <c r="D641" s="125" t="s">
        <v>21</v>
      </c>
      <c r="E641" s="124" t="s">
        <v>22</v>
      </c>
      <c r="F641" s="115">
        <v>200</v>
      </c>
      <c r="G641" s="115"/>
      <c r="H641" s="115">
        <v>150</v>
      </c>
      <c r="I641" s="115">
        <v>149.9</v>
      </c>
      <c r="J641" s="167">
        <f t="shared" si="78"/>
        <v>0.9993333333333334</v>
      </c>
      <c r="K641" s="223"/>
      <c r="L641" s="224"/>
    </row>
    <row r="642" spans="1:12" ht="18.75">
      <c r="A642" s="125"/>
      <c r="B642" s="125"/>
      <c r="C642" s="125" t="s">
        <v>24</v>
      </c>
      <c r="D642" s="125"/>
      <c r="E642" s="124" t="s">
        <v>996</v>
      </c>
      <c r="F642" s="115">
        <f>F643</f>
        <v>6470.6</v>
      </c>
      <c r="G642" s="115">
        <f>G643</f>
        <v>0</v>
      </c>
      <c r="H642" s="115">
        <f>H643</f>
        <v>6470.6</v>
      </c>
      <c r="I642" s="115">
        <f>I643</f>
        <v>6460.5</v>
      </c>
      <c r="J642" s="167">
        <f t="shared" si="78"/>
        <v>0.9984390937471023</v>
      </c>
      <c r="K642" s="223"/>
      <c r="L642" s="224"/>
    </row>
    <row r="643" spans="1:12" ht="18.75">
      <c r="A643" s="125"/>
      <c r="B643" s="125"/>
      <c r="C643" s="125"/>
      <c r="D643" s="125" t="s">
        <v>21</v>
      </c>
      <c r="E643" s="124" t="s">
        <v>22</v>
      </c>
      <c r="F643" s="115">
        <v>6470.6</v>
      </c>
      <c r="G643" s="115"/>
      <c r="H643" s="115">
        <v>6470.6</v>
      </c>
      <c r="I643" s="115">
        <v>6460.5</v>
      </c>
      <c r="J643" s="167">
        <f t="shared" si="78"/>
        <v>0.9984390937471023</v>
      </c>
      <c r="K643" s="223"/>
      <c r="L643" s="224"/>
    </row>
    <row r="644" spans="1:12" ht="37.5">
      <c r="A644" s="125"/>
      <c r="B644" s="125"/>
      <c r="C644" s="160" t="s">
        <v>957</v>
      </c>
      <c r="D644" s="160"/>
      <c r="E644" s="123" t="s">
        <v>985</v>
      </c>
      <c r="F644" s="115"/>
      <c r="G644" s="115"/>
      <c r="H644" s="173">
        <f>H645</f>
        <v>651.23619</v>
      </c>
      <c r="I644" s="173">
        <f>I645</f>
        <v>651.23619</v>
      </c>
      <c r="J644" s="167">
        <f t="shared" si="78"/>
        <v>1</v>
      </c>
      <c r="K644" s="223"/>
      <c r="L644" s="224"/>
    </row>
    <row r="645" spans="1:12" ht="18.75">
      <c r="A645" s="125"/>
      <c r="B645" s="125"/>
      <c r="C645" s="125"/>
      <c r="D645" s="125" t="s">
        <v>21</v>
      </c>
      <c r="E645" s="124" t="s">
        <v>22</v>
      </c>
      <c r="F645" s="115"/>
      <c r="G645" s="115"/>
      <c r="H645" s="173">
        <f>H647+H648+H649+H650</f>
        <v>651.23619</v>
      </c>
      <c r="I645" s="173">
        <f>I647+I648+I649+I650</f>
        <v>651.23619</v>
      </c>
      <c r="J645" s="167">
        <f t="shared" si="78"/>
        <v>1</v>
      </c>
      <c r="K645" s="223"/>
      <c r="L645" s="224"/>
    </row>
    <row r="646" spans="1:12" ht="18.75">
      <c r="A646" s="125"/>
      <c r="B646" s="125"/>
      <c r="C646" s="160"/>
      <c r="D646" s="160"/>
      <c r="E646" s="123" t="s">
        <v>889</v>
      </c>
      <c r="F646" s="115"/>
      <c r="G646" s="115"/>
      <c r="H646" s="173"/>
      <c r="I646" s="173"/>
      <c r="J646" s="167"/>
      <c r="K646" s="223"/>
      <c r="L646" s="224"/>
    </row>
    <row r="647" spans="1:12" ht="18.75">
      <c r="A647" s="125"/>
      <c r="B647" s="125"/>
      <c r="C647" s="160"/>
      <c r="D647" s="160"/>
      <c r="E647" s="123" t="s">
        <v>997</v>
      </c>
      <c r="F647" s="115"/>
      <c r="G647" s="115"/>
      <c r="H647" s="173">
        <v>67.21838</v>
      </c>
      <c r="I647" s="173">
        <v>67.21838</v>
      </c>
      <c r="J647" s="167">
        <f aca="true" t="shared" si="81" ref="J647:J652">I647/H647</f>
        <v>1</v>
      </c>
      <c r="K647" s="223"/>
      <c r="L647" s="224"/>
    </row>
    <row r="648" spans="1:12" ht="19.5" customHeight="1">
      <c r="A648" s="125"/>
      <c r="B648" s="125"/>
      <c r="C648" s="160"/>
      <c r="D648" s="160"/>
      <c r="E648" s="123" t="s">
        <v>998</v>
      </c>
      <c r="F648" s="115"/>
      <c r="G648" s="115"/>
      <c r="H648" s="173">
        <v>290.61014</v>
      </c>
      <c r="I648" s="173">
        <v>290.61014</v>
      </c>
      <c r="J648" s="167">
        <f t="shared" si="81"/>
        <v>1</v>
      </c>
      <c r="K648" s="223"/>
      <c r="L648" s="224"/>
    </row>
    <row r="649" spans="1:12" ht="18.75">
      <c r="A649" s="125"/>
      <c r="B649" s="125"/>
      <c r="C649" s="160"/>
      <c r="D649" s="160"/>
      <c r="E649" s="123" t="s">
        <v>999</v>
      </c>
      <c r="F649" s="115"/>
      <c r="G649" s="115"/>
      <c r="H649" s="173">
        <v>184.04202</v>
      </c>
      <c r="I649" s="173">
        <v>184.04202</v>
      </c>
      <c r="J649" s="167">
        <f t="shared" si="81"/>
        <v>1</v>
      </c>
      <c r="K649" s="223"/>
      <c r="L649" s="224"/>
    </row>
    <row r="650" spans="1:12" ht="18.75">
      <c r="A650" s="125"/>
      <c r="B650" s="125"/>
      <c r="C650" s="160"/>
      <c r="D650" s="160"/>
      <c r="E650" s="124" t="s">
        <v>1000</v>
      </c>
      <c r="F650" s="115"/>
      <c r="G650" s="115"/>
      <c r="H650" s="173">
        <v>109.36565</v>
      </c>
      <c r="I650" s="173">
        <v>109.36565</v>
      </c>
      <c r="J650" s="167">
        <f t="shared" si="81"/>
        <v>1</v>
      </c>
      <c r="K650" s="223"/>
      <c r="L650" s="224"/>
    </row>
    <row r="651" spans="1:12" s="176" customFormat="1" ht="37.5">
      <c r="A651" s="119"/>
      <c r="B651" s="119"/>
      <c r="C651" s="119" t="s">
        <v>957</v>
      </c>
      <c r="D651" s="119"/>
      <c r="E651" s="133" t="s">
        <v>1001</v>
      </c>
      <c r="F651" s="131"/>
      <c r="G651" s="131"/>
      <c r="H651" s="171">
        <f>H652</f>
        <v>1953.7085500000003</v>
      </c>
      <c r="I651" s="171">
        <f>I652</f>
        <v>1953.7085500000003</v>
      </c>
      <c r="J651" s="169">
        <f t="shared" si="81"/>
        <v>1</v>
      </c>
      <c r="K651" s="223"/>
      <c r="L651" s="224"/>
    </row>
    <row r="652" spans="1:12" s="176" customFormat="1" ht="18.75">
      <c r="A652" s="119"/>
      <c r="B652" s="119"/>
      <c r="C652" s="119"/>
      <c r="D652" s="119" t="s">
        <v>21</v>
      </c>
      <c r="E652" s="120" t="s">
        <v>22</v>
      </c>
      <c r="F652" s="131"/>
      <c r="G652" s="131"/>
      <c r="H652" s="171">
        <f>H654+H655+H656+H657</f>
        <v>1953.7085500000003</v>
      </c>
      <c r="I652" s="171">
        <f>I654+I655+I656+I657</f>
        <v>1953.7085500000003</v>
      </c>
      <c r="J652" s="169">
        <f t="shared" si="81"/>
        <v>1</v>
      </c>
      <c r="K652" s="223"/>
      <c r="L652" s="224"/>
    </row>
    <row r="653" spans="1:12" s="176" customFormat="1" ht="18.75">
      <c r="A653" s="119"/>
      <c r="B653" s="119"/>
      <c r="C653" s="119"/>
      <c r="D653" s="119"/>
      <c r="E653" s="133" t="s">
        <v>889</v>
      </c>
      <c r="F653" s="131"/>
      <c r="G653" s="131"/>
      <c r="H653" s="171"/>
      <c r="I653" s="171"/>
      <c r="J653" s="169"/>
      <c r="K653" s="223"/>
      <c r="L653" s="224"/>
    </row>
    <row r="654" spans="1:12" s="176" customFormat="1" ht="18.75">
      <c r="A654" s="119"/>
      <c r="B654" s="119"/>
      <c r="C654" s="119"/>
      <c r="D654" s="119"/>
      <c r="E654" s="133" t="s">
        <v>997</v>
      </c>
      <c r="F654" s="131"/>
      <c r="G654" s="131"/>
      <c r="H654" s="171">
        <v>201.65513</v>
      </c>
      <c r="I654" s="171">
        <v>201.65513</v>
      </c>
      <c r="J654" s="169">
        <f aca="true" t="shared" si="82" ref="J654:J694">I654/H654</f>
        <v>1</v>
      </c>
      <c r="K654" s="223"/>
      <c r="L654" s="224"/>
    </row>
    <row r="655" spans="1:12" s="176" customFormat="1" ht="19.5" customHeight="1">
      <c r="A655" s="119"/>
      <c r="B655" s="119"/>
      <c r="C655" s="119"/>
      <c r="D655" s="119"/>
      <c r="E655" s="133" t="s">
        <v>998</v>
      </c>
      <c r="F655" s="131"/>
      <c r="G655" s="131"/>
      <c r="H655" s="171">
        <v>871.83041</v>
      </c>
      <c r="I655" s="171">
        <v>871.83041</v>
      </c>
      <c r="J655" s="169">
        <f t="shared" si="82"/>
        <v>1</v>
      </c>
      <c r="K655" s="223"/>
      <c r="L655" s="224"/>
    </row>
    <row r="656" spans="1:12" s="176" customFormat="1" ht="18.75">
      <c r="A656" s="119"/>
      <c r="B656" s="119"/>
      <c r="C656" s="119"/>
      <c r="D656" s="119"/>
      <c r="E656" s="133" t="s">
        <v>999</v>
      </c>
      <c r="F656" s="131"/>
      <c r="G656" s="131"/>
      <c r="H656" s="171">
        <v>552.12606</v>
      </c>
      <c r="I656" s="171">
        <v>552.12606</v>
      </c>
      <c r="J656" s="169">
        <f t="shared" si="82"/>
        <v>1</v>
      </c>
      <c r="K656" s="223"/>
      <c r="L656" s="224"/>
    </row>
    <row r="657" spans="1:12" s="176" customFormat="1" ht="18.75">
      <c r="A657" s="119"/>
      <c r="B657" s="119"/>
      <c r="C657" s="119"/>
      <c r="D657" s="119"/>
      <c r="E657" s="120" t="s">
        <v>1000</v>
      </c>
      <c r="F657" s="131"/>
      <c r="G657" s="131"/>
      <c r="H657" s="171">
        <v>328.09695</v>
      </c>
      <c r="I657" s="171">
        <v>328.09695</v>
      </c>
      <c r="J657" s="169">
        <f t="shared" si="82"/>
        <v>1</v>
      </c>
      <c r="K657" s="223"/>
      <c r="L657" s="224"/>
    </row>
    <row r="658" spans="1:12" s="176" customFormat="1" ht="45.75" customHeight="1">
      <c r="A658" s="119"/>
      <c r="B658" s="119"/>
      <c r="C658" s="132" t="s">
        <v>29</v>
      </c>
      <c r="D658" s="132"/>
      <c r="E658" s="122" t="s">
        <v>1002</v>
      </c>
      <c r="F658" s="131"/>
      <c r="G658" s="131"/>
      <c r="H658" s="130">
        <f>H659</f>
        <v>6</v>
      </c>
      <c r="I658" s="130">
        <f>I659</f>
        <v>6</v>
      </c>
      <c r="J658" s="166">
        <f t="shared" si="82"/>
        <v>1</v>
      </c>
      <c r="K658" s="223"/>
      <c r="L658" s="224"/>
    </row>
    <row r="659" spans="1:12" s="176" customFormat="1" ht="18.75">
      <c r="A659" s="119"/>
      <c r="B659" s="119"/>
      <c r="C659" s="125" t="s">
        <v>34</v>
      </c>
      <c r="D659" s="125" t="s">
        <v>766</v>
      </c>
      <c r="E659" s="123" t="s">
        <v>35</v>
      </c>
      <c r="F659" s="131"/>
      <c r="G659" s="131"/>
      <c r="H659" s="115">
        <f>H660</f>
        <v>6</v>
      </c>
      <c r="I659" s="115">
        <f>I660</f>
        <v>6</v>
      </c>
      <c r="J659" s="167">
        <f t="shared" si="82"/>
        <v>1</v>
      </c>
      <c r="K659" s="223"/>
      <c r="L659" s="224"/>
    </row>
    <row r="660" spans="1:12" s="176" customFormat="1" ht="18.75">
      <c r="A660" s="119"/>
      <c r="B660" s="119"/>
      <c r="C660" s="125"/>
      <c r="D660" s="125" t="s">
        <v>21</v>
      </c>
      <c r="E660" s="124" t="s">
        <v>22</v>
      </c>
      <c r="F660" s="131"/>
      <c r="G660" s="131"/>
      <c r="H660" s="115">
        <v>6</v>
      </c>
      <c r="I660" s="115">
        <v>6</v>
      </c>
      <c r="J660" s="167">
        <f t="shared" si="82"/>
        <v>1</v>
      </c>
      <c r="K660" s="223"/>
      <c r="L660" s="224"/>
    </row>
    <row r="661" spans="1:12" ht="37.5">
      <c r="A661" s="132"/>
      <c r="B661" s="132"/>
      <c r="C661" s="132" t="s">
        <v>39</v>
      </c>
      <c r="D661" s="132" t="s">
        <v>766</v>
      </c>
      <c r="E661" s="122" t="s">
        <v>501</v>
      </c>
      <c r="F661" s="130">
        <f>F662+F667</f>
        <v>502587.4</v>
      </c>
      <c r="G661" s="130">
        <f>G662+G667</f>
        <v>-529.9</v>
      </c>
      <c r="H661" s="130">
        <f>H662+H667</f>
        <v>553958.2000000001</v>
      </c>
      <c r="I661" s="130">
        <f>I662+I667</f>
        <v>520683.60000000003</v>
      </c>
      <c r="J661" s="166">
        <f t="shared" si="82"/>
        <v>0.9399330129962874</v>
      </c>
      <c r="K661" s="223"/>
      <c r="L661" s="224"/>
    </row>
    <row r="662" spans="1:12" ht="37.5">
      <c r="A662" s="132"/>
      <c r="B662" s="132"/>
      <c r="C662" s="132" t="s">
        <v>41</v>
      </c>
      <c r="D662" s="132"/>
      <c r="E662" s="122" t="s">
        <v>42</v>
      </c>
      <c r="F662" s="130">
        <f aca="true" t="shared" si="83" ref="F662:I663">F663</f>
        <v>118051.4</v>
      </c>
      <c r="G662" s="130">
        <f t="shared" si="83"/>
        <v>0</v>
      </c>
      <c r="H662" s="130">
        <f>H663+H665</f>
        <v>122688.9</v>
      </c>
      <c r="I662" s="130">
        <f>I663+I665</f>
        <v>121739.7</v>
      </c>
      <c r="J662" s="166">
        <f t="shared" si="82"/>
        <v>0.9922633587879588</v>
      </c>
      <c r="K662" s="223"/>
      <c r="L662" s="224"/>
    </row>
    <row r="663" spans="1:12" ht="18.75">
      <c r="A663" s="132"/>
      <c r="B663" s="132"/>
      <c r="C663" s="125" t="s">
        <v>43</v>
      </c>
      <c r="D663" s="125" t="s">
        <v>766</v>
      </c>
      <c r="E663" s="123" t="s">
        <v>812</v>
      </c>
      <c r="F663" s="115">
        <f t="shared" si="83"/>
        <v>118051.4</v>
      </c>
      <c r="G663" s="115">
        <f t="shared" si="83"/>
        <v>0</v>
      </c>
      <c r="H663" s="115">
        <f t="shared" si="83"/>
        <v>120751</v>
      </c>
      <c r="I663" s="115">
        <f t="shared" si="83"/>
        <v>120751</v>
      </c>
      <c r="J663" s="167">
        <f t="shared" si="82"/>
        <v>1</v>
      </c>
      <c r="K663" s="223"/>
      <c r="L663" s="224"/>
    </row>
    <row r="664" spans="1:12" ht="18.75">
      <c r="A664" s="125"/>
      <c r="B664" s="125"/>
      <c r="C664" s="125"/>
      <c r="D664" s="125" t="s">
        <v>21</v>
      </c>
      <c r="E664" s="124" t="s">
        <v>22</v>
      </c>
      <c r="F664" s="115">
        <v>118051.4</v>
      </c>
      <c r="G664" s="115"/>
      <c r="H664" s="115">
        <v>120751</v>
      </c>
      <c r="I664" s="115">
        <v>120751</v>
      </c>
      <c r="J664" s="167">
        <f t="shared" si="82"/>
        <v>1</v>
      </c>
      <c r="K664" s="223"/>
      <c r="L664" s="224"/>
    </row>
    <row r="665" spans="1:12" ht="37.5">
      <c r="A665" s="125"/>
      <c r="B665" s="125"/>
      <c r="C665" s="125" t="s">
        <v>815</v>
      </c>
      <c r="D665" s="125"/>
      <c r="E665" s="124" t="s">
        <v>1003</v>
      </c>
      <c r="F665" s="115"/>
      <c r="G665" s="115"/>
      <c r="H665" s="115">
        <f>H666</f>
        <v>1937.9</v>
      </c>
      <c r="I665" s="115">
        <f>I666</f>
        <v>988.7</v>
      </c>
      <c r="J665" s="167">
        <f t="shared" si="82"/>
        <v>0.5101914443469735</v>
      </c>
      <c r="K665" s="223"/>
      <c r="L665" s="224"/>
    </row>
    <row r="666" spans="1:12" ht="18.75">
      <c r="A666" s="125"/>
      <c r="B666" s="125"/>
      <c r="C666" s="125"/>
      <c r="D666" s="125" t="s">
        <v>21</v>
      </c>
      <c r="E666" s="124" t="s">
        <v>22</v>
      </c>
      <c r="F666" s="115"/>
      <c r="G666" s="115"/>
      <c r="H666" s="115">
        <v>1937.9</v>
      </c>
      <c r="I666" s="115">
        <v>988.7</v>
      </c>
      <c r="J666" s="167">
        <f t="shared" si="82"/>
        <v>0.5101914443469735</v>
      </c>
      <c r="K666" s="223"/>
      <c r="L666" s="224"/>
    </row>
    <row r="667" spans="1:12" ht="18.75">
      <c r="A667" s="125"/>
      <c r="B667" s="125"/>
      <c r="C667" s="117" t="s">
        <v>56</v>
      </c>
      <c r="D667" s="136"/>
      <c r="E667" s="135" t="s">
        <v>57</v>
      </c>
      <c r="F667" s="130">
        <f>F668</f>
        <v>384536</v>
      </c>
      <c r="G667" s="130">
        <f>G668</f>
        <v>-529.9</v>
      </c>
      <c r="H667" s="130">
        <f>H668</f>
        <v>431269.30000000005</v>
      </c>
      <c r="I667" s="130">
        <f>I668</f>
        <v>398943.9</v>
      </c>
      <c r="J667" s="166">
        <f t="shared" si="82"/>
        <v>0.9250459051919531</v>
      </c>
      <c r="K667" s="223"/>
      <c r="L667" s="224"/>
    </row>
    <row r="668" spans="1:12" ht="29.25" customHeight="1">
      <c r="A668" s="125"/>
      <c r="B668" s="125"/>
      <c r="C668" s="126" t="s">
        <v>424</v>
      </c>
      <c r="D668" s="126"/>
      <c r="E668" s="143" t="s">
        <v>1004</v>
      </c>
      <c r="F668" s="168">
        <f>F670+F669</f>
        <v>384536</v>
      </c>
      <c r="G668" s="168">
        <f>G670+G669</f>
        <v>-529.9</v>
      </c>
      <c r="H668" s="168">
        <f>H670+H669</f>
        <v>431269.30000000005</v>
      </c>
      <c r="I668" s="168">
        <f>I670+I669</f>
        <v>398943.9</v>
      </c>
      <c r="J668" s="169">
        <f t="shared" si="82"/>
        <v>0.9250459051919531</v>
      </c>
      <c r="K668" s="223"/>
      <c r="L668" s="224"/>
    </row>
    <row r="669" spans="1:12" ht="25.5" customHeight="1">
      <c r="A669" s="125"/>
      <c r="B669" s="125"/>
      <c r="C669" s="126"/>
      <c r="D669" s="119" t="s">
        <v>32</v>
      </c>
      <c r="E669" s="120" t="s">
        <v>33</v>
      </c>
      <c r="F669" s="168">
        <v>457.2</v>
      </c>
      <c r="G669" s="115"/>
      <c r="H669" s="131">
        <v>514.4</v>
      </c>
      <c r="I669" s="131">
        <v>510.9</v>
      </c>
      <c r="J669" s="169">
        <f t="shared" si="82"/>
        <v>0.9931959564541213</v>
      </c>
      <c r="K669" s="223"/>
      <c r="L669" s="224"/>
    </row>
    <row r="670" spans="1:12" ht="18.75">
      <c r="A670" s="125"/>
      <c r="B670" s="125"/>
      <c r="C670" s="126"/>
      <c r="D670" s="119" t="s">
        <v>21</v>
      </c>
      <c r="E670" s="120" t="s">
        <v>22</v>
      </c>
      <c r="F670" s="168">
        <f>21361.6+353361.7+3444.8+5823.3+87.4</f>
        <v>384078.8</v>
      </c>
      <c r="G670" s="131">
        <v>-529.9</v>
      </c>
      <c r="H670" s="131">
        <v>430754.9</v>
      </c>
      <c r="I670" s="131">
        <v>398433</v>
      </c>
      <c r="J670" s="169">
        <f t="shared" si="82"/>
        <v>0.9249645215875664</v>
      </c>
      <c r="K670" s="223"/>
      <c r="L670" s="224"/>
    </row>
    <row r="671" spans="1:12" ht="38.25" customHeight="1">
      <c r="A671" s="132"/>
      <c r="B671" s="132"/>
      <c r="C671" s="132" t="s">
        <v>102</v>
      </c>
      <c r="D671" s="132"/>
      <c r="E671" s="122" t="s">
        <v>770</v>
      </c>
      <c r="F671" s="130">
        <f>F672+F678</f>
        <v>3351.6</v>
      </c>
      <c r="G671" s="130">
        <f>G672+G678</f>
        <v>0</v>
      </c>
      <c r="H671" s="130">
        <f>H672+H678</f>
        <v>2549.3</v>
      </c>
      <c r="I671" s="130">
        <f>I672+I678</f>
        <v>2549.3</v>
      </c>
      <c r="J671" s="166">
        <f t="shared" si="82"/>
        <v>1</v>
      </c>
      <c r="K671" s="223"/>
      <c r="L671" s="224"/>
    </row>
    <row r="672" spans="1:12" ht="18.75">
      <c r="A672" s="132"/>
      <c r="B672" s="132"/>
      <c r="C672" s="132" t="s">
        <v>103</v>
      </c>
      <c r="D672" s="132"/>
      <c r="E672" s="122" t="s">
        <v>353</v>
      </c>
      <c r="F672" s="130">
        <f>F673</f>
        <v>2469.5</v>
      </c>
      <c r="G672" s="130">
        <f>G673</f>
        <v>0</v>
      </c>
      <c r="H672" s="130">
        <f>H673</f>
        <v>1458.4</v>
      </c>
      <c r="I672" s="130">
        <f>I673</f>
        <v>1458.4</v>
      </c>
      <c r="J672" s="166">
        <f t="shared" si="82"/>
        <v>1</v>
      </c>
      <c r="K672" s="223"/>
      <c r="L672" s="224"/>
    </row>
    <row r="673" spans="1:12" ht="23.25" customHeight="1">
      <c r="A673" s="132"/>
      <c r="B673" s="132"/>
      <c r="C673" s="132" t="s">
        <v>431</v>
      </c>
      <c r="D673" s="132"/>
      <c r="E673" s="122" t="s">
        <v>915</v>
      </c>
      <c r="F673" s="130">
        <f>F674+F676</f>
        <v>2469.5</v>
      </c>
      <c r="G673" s="130">
        <f>G674+G676</f>
        <v>0</v>
      </c>
      <c r="H673" s="130">
        <f>H674+H676</f>
        <v>1458.4</v>
      </c>
      <c r="I673" s="130">
        <f>I674+I676</f>
        <v>1458.4</v>
      </c>
      <c r="J673" s="166">
        <f t="shared" si="82"/>
        <v>1</v>
      </c>
      <c r="K673" s="223"/>
      <c r="L673" s="224"/>
    </row>
    <row r="674" spans="1:12" ht="22.5" customHeight="1">
      <c r="A674" s="132"/>
      <c r="B674" s="132"/>
      <c r="C674" s="125" t="s">
        <v>430</v>
      </c>
      <c r="D674" s="125" t="s">
        <v>766</v>
      </c>
      <c r="E674" s="123" t="s">
        <v>429</v>
      </c>
      <c r="F674" s="115">
        <f>F675</f>
        <v>1282.7</v>
      </c>
      <c r="G674" s="115">
        <f>G675</f>
        <v>0</v>
      </c>
      <c r="H674" s="115">
        <f>H675</f>
        <v>658.8</v>
      </c>
      <c r="I674" s="115">
        <f>I675</f>
        <v>658.8</v>
      </c>
      <c r="J674" s="167">
        <f t="shared" si="82"/>
        <v>1</v>
      </c>
      <c r="K674" s="223"/>
      <c r="L674" s="224"/>
    </row>
    <row r="675" spans="1:12" ht="18.75">
      <c r="A675" s="132"/>
      <c r="B675" s="132"/>
      <c r="C675" s="132"/>
      <c r="D675" s="125" t="s">
        <v>21</v>
      </c>
      <c r="E675" s="124" t="s">
        <v>22</v>
      </c>
      <c r="F675" s="115">
        <v>1282.7</v>
      </c>
      <c r="G675" s="115"/>
      <c r="H675" s="115">
        <v>658.8</v>
      </c>
      <c r="I675" s="115">
        <v>658.8</v>
      </c>
      <c r="J675" s="167">
        <f t="shared" si="82"/>
        <v>1</v>
      </c>
      <c r="K675" s="223"/>
      <c r="L675" s="224"/>
    </row>
    <row r="676" spans="1:12" ht="18.75">
      <c r="A676" s="132"/>
      <c r="B676" s="132"/>
      <c r="C676" s="125" t="s">
        <v>448</v>
      </c>
      <c r="D676" s="125" t="s">
        <v>766</v>
      </c>
      <c r="E676" s="123" t="s">
        <v>447</v>
      </c>
      <c r="F676" s="115">
        <f>F677</f>
        <v>1186.8</v>
      </c>
      <c r="G676" s="115">
        <f>G677</f>
        <v>0</v>
      </c>
      <c r="H676" s="115">
        <f>H677</f>
        <v>799.6</v>
      </c>
      <c r="I676" s="115">
        <f>I677</f>
        <v>799.6</v>
      </c>
      <c r="J676" s="167">
        <f t="shared" si="82"/>
        <v>1</v>
      </c>
      <c r="K676" s="223"/>
      <c r="L676" s="224"/>
    </row>
    <row r="677" spans="1:12" ht="18.75">
      <c r="A677" s="132"/>
      <c r="B677" s="132"/>
      <c r="C677" s="132"/>
      <c r="D677" s="125" t="s">
        <v>21</v>
      </c>
      <c r="E677" s="124" t="s">
        <v>22</v>
      </c>
      <c r="F677" s="115">
        <v>1186.8</v>
      </c>
      <c r="G677" s="115"/>
      <c r="H677" s="115">
        <v>799.6</v>
      </c>
      <c r="I677" s="115">
        <v>799.6</v>
      </c>
      <c r="J677" s="167">
        <f t="shared" si="82"/>
        <v>1</v>
      </c>
      <c r="K677" s="223"/>
      <c r="L677" s="224"/>
    </row>
    <row r="678" spans="1:12" ht="18.75">
      <c r="A678" s="132"/>
      <c r="B678" s="132"/>
      <c r="C678" s="132" t="s">
        <v>116</v>
      </c>
      <c r="D678" s="132"/>
      <c r="E678" s="122" t="s">
        <v>117</v>
      </c>
      <c r="F678" s="130">
        <f>F679</f>
        <v>882.1</v>
      </c>
      <c r="G678" s="130">
        <f aca="true" t="shared" si="84" ref="G678:I680">G679</f>
        <v>0</v>
      </c>
      <c r="H678" s="130">
        <f t="shared" si="84"/>
        <v>1090.9</v>
      </c>
      <c r="I678" s="130">
        <f t="shared" si="84"/>
        <v>1090.9</v>
      </c>
      <c r="J678" s="166">
        <f t="shared" si="82"/>
        <v>1</v>
      </c>
      <c r="K678" s="223"/>
      <c r="L678" s="224"/>
    </row>
    <row r="679" spans="1:12" ht="28.5" customHeight="1">
      <c r="A679" s="132"/>
      <c r="B679" s="132"/>
      <c r="C679" s="132" t="s">
        <v>122</v>
      </c>
      <c r="D679" s="132"/>
      <c r="E679" s="122" t="s">
        <v>917</v>
      </c>
      <c r="F679" s="130">
        <f>F680</f>
        <v>882.1</v>
      </c>
      <c r="G679" s="130">
        <f t="shared" si="84"/>
        <v>0</v>
      </c>
      <c r="H679" s="130">
        <f t="shared" si="84"/>
        <v>1090.9</v>
      </c>
      <c r="I679" s="130">
        <f t="shared" si="84"/>
        <v>1090.9</v>
      </c>
      <c r="J679" s="166">
        <f t="shared" si="82"/>
        <v>1</v>
      </c>
      <c r="K679" s="223"/>
      <c r="L679" s="224"/>
    </row>
    <row r="680" spans="1:12" ht="18.75">
      <c r="A680" s="132"/>
      <c r="B680" s="132"/>
      <c r="C680" s="125" t="s">
        <v>1005</v>
      </c>
      <c r="D680" s="125"/>
      <c r="E680" s="124" t="s">
        <v>1006</v>
      </c>
      <c r="F680" s="115">
        <f>F681</f>
        <v>882.1</v>
      </c>
      <c r="G680" s="115">
        <f t="shared" si="84"/>
        <v>0</v>
      </c>
      <c r="H680" s="115">
        <f t="shared" si="84"/>
        <v>1090.9</v>
      </c>
      <c r="I680" s="115">
        <f t="shared" si="84"/>
        <v>1090.9</v>
      </c>
      <c r="J680" s="167">
        <f t="shared" si="82"/>
        <v>1</v>
      </c>
      <c r="K680" s="223"/>
      <c r="L680" s="224"/>
    </row>
    <row r="681" spans="1:12" ht="18.75">
      <c r="A681" s="125"/>
      <c r="B681" s="125"/>
      <c r="C681" s="125"/>
      <c r="D681" s="125" t="s">
        <v>21</v>
      </c>
      <c r="E681" s="124" t="s">
        <v>22</v>
      </c>
      <c r="F681" s="115">
        <v>882.1</v>
      </c>
      <c r="G681" s="115"/>
      <c r="H681" s="115">
        <v>1090.9</v>
      </c>
      <c r="I681" s="115">
        <v>1090.9</v>
      </c>
      <c r="J681" s="167">
        <f t="shared" si="82"/>
        <v>1</v>
      </c>
      <c r="K681" s="223"/>
      <c r="L681" s="224"/>
    </row>
    <row r="682" spans="1:12" ht="18.75">
      <c r="A682" s="125"/>
      <c r="B682" s="117" t="s">
        <v>376</v>
      </c>
      <c r="C682" s="117"/>
      <c r="D682" s="117"/>
      <c r="E682" s="118" t="s">
        <v>377</v>
      </c>
      <c r="F682" s="130">
        <f>F683+F723</f>
        <v>484315.80000000005</v>
      </c>
      <c r="G682" s="130">
        <f>G683+G723</f>
        <v>0</v>
      </c>
      <c r="H682" s="130">
        <f>H683+H723</f>
        <v>528422</v>
      </c>
      <c r="I682" s="130">
        <f>I683+I723</f>
        <v>493517.50000000006</v>
      </c>
      <c r="J682" s="166">
        <f t="shared" si="82"/>
        <v>0.9339457857545674</v>
      </c>
      <c r="K682" s="223"/>
      <c r="L682" s="224"/>
    </row>
    <row r="683" spans="1:12" ht="18.75">
      <c r="A683" s="132"/>
      <c r="B683" s="132"/>
      <c r="C683" s="132" t="s">
        <v>16</v>
      </c>
      <c r="D683" s="132" t="s">
        <v>766</v>
      </c>
      <c r="E683" s="122" t="s">
        <v>17</v>
      </c>
      <c r="F683" s="130">
        <f>F684+F706</f>
        <v>481339.60000000003</v>
      </c>
      <c r="G683" s="130">
        <f>G684+G706</f>
        <v>0</v>
      </c>
      <c r="H683" s="130">
        <f>H684+H706</f>
        <v>524798.6</v>
      </c>
      <c r="I683" s="130">
        <f>I684+I706</f>
        <v>489894.10000000003</v>
      </c>
      <c r="J683" s="166">
        <f t="shared" si="82"/>
        <v>0.9334897234863051</v>
      </c>
      <c r="K683" s="223"/>
      <c r="L683" s="224"/>
    </row>
    <row r="684" spans="1:12" ht="18.75">
      <c r="A684" s="132"/>
      <c r="B684" s="132"/>
      <c r="C684" s="132" t="s">
        <v>18</v>
      </c>
      <c r="D684" s="132" t="s">
        <v>766</v>
      </c>
      <c r="E684" s="122" t="s">
        <v>19</v>
      </c>
      <c r="F684" s="130">
        <f>F685+F701</f>
        <v>4707.5</v>
      </c>
      <c r="G684" s="130">
        <f>G685+G701</f>
        <v>0</v>
      </c>
      <c r="H684" s="130">
        <f>H685+H701</f>
        <v>5833.7</v>
      </c>
      <c r="I684" s="130">
        <f>I685+I701</f>
        <v>5833.7</v>
      </c>
      <c r="J684" s="166">
        <f t="shared" si="82"/>
        <v>1</v>
      </c>
      <c r="K684" s="223"/>
      <c r="L684" s="224"/>
    </row>
    <row r="685" spans="1:12" ht="37.5" customHeight="1">
      <c r="A685" s="132"/>
      <c r="B685" s="132"/>
      <c r="C685" s="132" t="s">
        <v>20</v>
      </c>
      <c r="D685" s="132"/>
      <c r="E685" s="122" t="s">
        <v>934</v>
      </c>
      <c r="F685" s="130">
        <f>F686+F688+F690</f>
        <v>4007.5</v>
      </c>
      <c r="G685" s="130">
        <f>G686+G688+G690</f>
        <v>0</v>
      </c>
      <c r="H685" s="130">
        <f>H686+H688+H690+H693+H697</f>
        <v>5022.4</v>
      </c>
      <c r="I685" s="130">
        <f>I686+I688+I690+I693+I697</f>
        <v>5022.4</v>
      </c>
      <c r="J685" s="166">
        <f t="shared" si="82"/>
        <v>1</v>
      </c>
      <c r="K685" s="223"/>
      <c r="L685" s="224"/>
    </row>
    <row r="686" spans="1:12" ht="18.75">
      <c r="A686" s="132"/>
      <c r="B686" s="132"/>
      <c r="C686" s="125" t="s">
        <v>23</v>
      </c>
      <c r="D686" s="125" t="s">
        <v>766</v>
      </c>
      <c r="E686" s="123" t="s">
        <v>450</v>
      </c>
      <c r="F686" s="115">
        <f>F687</f>
        <v>300</v>
      </c>
      <c r="G686" s="115">
        <f>G687</f>
        <v>0</v>
      </c>
      <c r="H686" s="115">
        <f>H687</f>
        <v>319.9</v>
      </c>
      <c r="I686" s="115">
        <f>I687</f>
        <v>319.9</v>
      </c>
      <c r="J686" s="167">
        <f t="shared" si="82"/>
        <v>1</v>
      </c>
      <c r="K686" s="223"/>
      <c r="L686" s="224"/>
    </row>
    <row r="687" spans="1:12" ht="18.75">
      <c r="A687" s="125"/>
      <c r="B687" s="125"/>
      <c r="C687" s="125"/>
      <c r="D687" s="125" t="s">
        <v>21</v>
      </c>
      <c r="E687" s="124" t="s">
        <v>22</v>
      </c>
      <c r="F687" s="115">
        <v>300</v>
      </c>
      <c r="G687" s="115"/>
      <c r="H687" s="115">
        <v>319.9</v>
      </c>
      <c r="I687" s="115">
        <v>319.9</v>
      </c>
      <c r="J687" s="167">
        <f t="shared" si="82"/>
        <v>1</v>
      </c>
      <c r="K687" s="223"/>
      <c r="L687" s="224"/>
    </row>
    <row r="688" spans="1:12" ht="18.75">
      <c r="A688" s="132"/>
      <c r="B688" s="132"/>
      <c r="C688" s="125" t="s">
        <v>396</v>
      </c>
      <c r="D688" s="125"/>
      <c r="E688" s="123" t="s">
        <v>810</v>
      </c>
      <c r="F688" s="115">
        <f>F689</f>
        <v>200</v>
      </c>
      <c r="G688" s="115">
        <f>G689</f>
        <v>0</v>
      </c>
      <c r="H688" s="115">
        <f>H689</f>
        <v>200</v>
      </c>
      <c r="I688" s="115">
        <f>I689</f>
        <v>200</v>
      </c>
      <c r="J688" s="167">
        <f t="shared" si="82"/>
        <v>1</v>
      </c>
      <c r="K688" s="223"/>
      <c r="L688" s="224"/>
    </row>
    <row r="689" spans="1:12" ht="18.75">
      <c r="A689" s="125"/>
      <c r="B689" s="125"/>
      <c r="C689" s="125"/>
      <c r="D689" s="125" t="s">
        <v>21</v>
      </c>
      <c r="E689" s="124" t="s">
        <v>22</v>
      </c>
      <c r="F689" s="115">
        <v>200</v>
      </c>
      <c r="G689" s="115"/>
      <c r="H689" s="115">
        <f>SUM(F689:G689)</f>
        <v>200</v>
      </c>
      <c r="I689" s="115">
        <v>200</v>
      </c>
      <c r="J689" s="167">
        <f t="shared" si="82"/>
        <v>1</v>
      </c>
      <c r="K689" s="223"/>
      <c r="L689" s="224"/>
    </row>
    <row r="690" spans="1:12" ht="18.75">
      <c r="A690" s="132"/>
      <c r="B690" s="132"/>
      <c r="C690" s="125" t="s">
        <v>25</v>
      </c>
      <c r="D690" s="125" t="s">
        <v>766</v>
      </c>
      <c r="E690" s="123" t="s">
        <v>422</v>
      </c>
      <c r="F690" s="115">
        <f>F692</f>
        <v>3507.5</v>
      </c>
      <c r="G690" s="115">
        <f>G692</f>
        <v>0</v>
      </c>
      <c r="H690" s="115">
        <f>H692+H691</f>
        <v>3507.5</v>
      </c>
      <c r="I690" s="115">
        <f>I692+I691</f>
        <v>3507.5</v>
      </c>
      <c r="J690" s="167">
        <f t="shared" si="82"/>
        <v>1</v>
      </c>
      <c r="K690" s="223"/>
      <c r="L690" s="224"/>
    </row>
    <row r="691" spans="1:12" ht="18.75">
      <c r="A691" s="132"/>
      <c r="B691" s="132"/>
      <c r="C691" s="125"/>
      <c r="D691" s="125" t="s">
        <v>27</v>
      </c>
      <c r="E691" s="124" t="s">
        <v>28</v>
      </c>
      <c r="F691" s="115"/>
      <c r="G691" s="115"/>
      <c r="H691" s="115">
        <v>3.2</v>
      </c>
      <c r="I691" s="115">
        <v>3.2</v>
      </c>
      <c r="J691" s="167">
        <f t="shared" si="82"/>
        <v>1</v>
      </c>
      <c r="K691" s="223"/>
      <c r="L691" s="224"/>
    </row>
    <row r="692" spans="1:12" ht="18.75">
      <c r="A692" s="125"/>
      <c r="B692" s="125"/>
      <c r="C692" s="125"/>
      <c r="D692" s="125" t="s">
        <v>21</v>
      </c>
      <c r="E692" s="124" t="s">
        <v>22</v>
      </c>
      <c r="F692" s="115">
        <v>3507.5</v>
      </c>
      <c r="G692" s="115"/>
      <c r="H692" s="115">
        <v>3504.3</v>
      </c>
      <c r="I692" s="115">
        <v>3504.3</v>
      </c>
      <c r="J692" s="167">
        <f t="shared" si="82"/>
        <v>1</v>
      </c>
      <c r="K692" s="223"/>
      <c r="L692" s="224"/>
    </row>
    <row r="693" spans="1:12" ht="37.5">
      <c r="A693" s="125"/>
      <c r="B693" s="125"/>
      <c r="C693" s="160" t="s">
        <v>957</v>
      </c>
      <c r="D693" s="160"/>
      <c r="E693" s="123" t="s">
        <v>985</v>
      </c>
      <c r="F693" s="115"/>
      <c r="G693" s="115"/>
      <c r="H693" s="173">
        <f>H694</f>
        <v>248.76393</v>
      </c>
      <c r="I693" s="173">
        <f>I694</f>
        <v>248.76393</v>
      </c>
      <c r="J693" s="167">
        <f t="shared" si="82"/>
        <v>1</v>
      </c>
      <c r="K693" s="223"/>
      <c r="L693" s="224"/>
    </row>
    <row r="694" spans="1:12" ht="18.75">
      <c r="A694" s="125"/>
      <c r="B694" s="125"/>
      <c r="C694" s="125"/>
      <c r="D694" s="125" t="s">
        <v>21</v>
      </c>
      <c r="E694" s="124" t="s">
        <v>22</v>
      </c>
      <c r="F694" s="115"/>
      <c r="G694" s="115"/>
      <c r="H694" s="173">
        <f>H696</f>
        <v>248.76393</v>
      </c>
      <c r="I694" s="173">
        <f>I696</f>
        <v>248.76393</v>
      </c>
      <c r="J694" s="167">
        <f t="shared" si="82"/>
        <v>1</v>
      </c>
      <c r="K694" s="223"/>
      <c r="L694" s="224"/>
    </row>
    <row r="695" spans="1:12" ht="18.75">
      <c r="A695" s="125"/>
      <c r="B695" s="125"/>
      <c r="C695" s="160"/>
      <c r="D695" s="160"/>
      <c r="E695" s="123" t="s">
        <v>889</v>
      </c>
      <c r="F695" s="115"/>
      <c r="G695" s="115"/>
      <c r="H695" s="173"/>
      <c r="I695" s="173"/>
      <c r="J695" s="167"/>
      <c r="K695" s="223"/>
      <c r="L695" s="224"/>
    </row>
    <row r="696" spans="1:12" ht="18.75">
      <c r="A696" s="125"/>
      <c r="B696" s="125"/>
      <c r="C696" s="125"/>
      <c r="D696" s="125"/>
      <c r="E696" s="124" t="s">
        <v>1007</v>
      </c>
      <c r="F696" s="115"/>
      <c r="G696" s="115"/>
      <c r="H696" s="173">
        <v>248.76393</v>
      </c>
      <c r="I696" s="173">
        <v>248.76393</v>
      </c>
      <c r="J696" s="167">
        <f>I696/H696</f>
        <v>1</v>
      </c>
      <c r="K696" s="223"/>
      <c r="L696" s="224"/>
    </row>
    <row r="697" spans="1:12" s="176" customFormat="1" ht="37.5">
      <c r="A697" s="119"/>
      <c r="B697" s="119"/>
      <c r="C697" s="119" t="s">
        <v>957</v>
      </c>
      <c r="D697" s="119"/>
      <c r="E697" s="133" t="s">
        <v>1001</v>
      </c>
      <c r="F697" s="131"/>
      <c r="G697" s="131"/>
      <c r="H697" s="171">
        <f>H698</f>
        <v>746.23607</v>
      </c>
      <c r="I697" s="171">
        <f>I698</f>
        <v>746.23607</v>
      </c>
      <c r="J697" s="169">
        <f>I697/H697</f>
        <v>1</v>
      </c>
      <c r="K697" s="223"/>
      <c r="L697" s="224"/>
    </row>
    <row r="698" spans="1:12" s="176" customFormat="1" ht="18.75">
      <c r="A698" s="119"/>
      <c r="B698" s="119"/>
      <c r="C698" s="119"/>
      <c r="D698" s="119" t="s">
        <v>21</v>
      </c>
      <c r="E698" s="120" t="s">
        <v>22</v>
      </c>
      <c r="F698" s="131"/>
      <c r="G698" s="131"/>
      <c r="H698" s="171">
        <f>H700</f>
        <v>746.23607</v>
      </c>
      <c r="I698" s="171">
        <f>I700</f>
        <v>746.23607</v>
      </c>
      <c r="J698" s="169">
        <f>I698/H698</f>
        <v>1</v>
      </c>
      <c r="K698" s="223"/>
      <c r="L698" s="224"/>
    </row>
    <row r="699" spans="1:12" s="176" customFormat="1" ht="18.75">
      <c r="A699" s="119"/>
      <c r="B699" s="119"/>
      <c r="C699" s="119"/>
      <c r="D699" s="119"/>
      <c r="E699" s="133" t="s">
        <v>889</v>
      </c>
      <c r="F699" s="131"/>
      <c r="G699" s="131"/>
      <c r="H699" s="171"/>
      <c r="I699" s="131"/>
      <c r="J699" s="169"/>
      <c r="K699" s="223"/>
      <c r="L699" s="224"/>
    </row>
    <row r="700" spans="1:12" s="176" customFormat="1" ht="18.75">
      <c r="A700" s="119"/>
      <c r="B700" s="119"/>
      <c r="C700" s="119"/>
      <c r="D700" s="119"/>
      <c r="E700" s="120" t="s">
        <v>1007</v>
      </c>
      <c r="F700" s="131"/>
      <c r="G700" s="131"/>
      <c r="H700" s="171">
        <f>746.29178-0.05571</f>
        <v>746.23607</v>
      </c>
      <c r="I700" s="171">
        <f>746.29178-0.05571</f>
        <v>746.23607</v>
      </c>
      <c r="J700" s="169">
        <f aca="true" t="shared" si="85" ref="J700:J731">I700/H700</f>
        <v>1</v>
      </c>
      <c r="K700" s="223"/>
      <c r="L700" s="224"/>
    </row>
    <row r="701" spans="1:12" ht="40.5" customHeight="1">
      <c r="A701" s="132"/>
      <c r="B701" s="132"/>
      <c r="C701" s="132" t="s">
        <v>29</v>
      </c>
      <c r="D701" s="132"/>
      <c r="E701" s="122" t="s">
        <v>1002</v>
      </c>
      <c r="F701" s="130">
        <f>F704</f>
        <v>700</v>
      </c>
      <c r="G701" s="130">
        <f>G704</f>
        <v>0</v>
      </c>
      <c r="H701" s="130">
        <f>H704+H702</f>
        <v>811.3</v>
      </c>
      <c r="I701" s="130">
        <f>I704+I702</f>
        <v>811.3</v>
      </c>
      <c r="J701" s="166">
        <f t="shared" si="85"/>
        <v>1</v>
      </c>
      <c r="K701" s="223"/>
      <c r="L701" s="224"/>
    </row>
    <row r="702" spans="1:12" ht="18.75" customHeight="1">
      <c r="A702" s="132"/>
      <c r="B702" s="132"/>
      <c r="C702" s="125" t="s">
        <v>30</v>
      </c>
      <c r="D702" s="125" t="s">
        <v>766</v>
      </c>
      <c r="E702" s="123" t="s">
        <v>31</v>
      </c>
      <c r="F702" s="130"/>
      <c r="G702" s="130"/>
      <c r="H702" s="115">
        <f aca="true" t="shared" si="86" ref="F702:I704">H703</f>
        <v>111.3</v>
      </c>
      <c r="I702" s="115">
        <f t="shared" si="86"/>
        <v>111.3</v>
      </c>
      <c r="J702" s="167">
        <f t="shared" si="85"/>
        <v>1</v>
      </c>
      <c r="K702" s="223"/>
      <c r="L702" s="224"/>
    </row>
    <row r="703" spans="1:12" ht="40.5" customHeight="1">
      <c r="A703" s="132"/>
      <c r="B703" s="132"/>
      <c r="C703" s="132"/>
      <c r="D703" s="125" t="s">
        <v>21</v>
      </c>
      <c r="E703" s="124" t="s">
        <v>22</v>
      </c>
      <c r="F703" s="130"/>
      <c r="G703" s="130"/>
      <c r="H703" s="115">
        <v>111.3</v>
      </c>
      <c r="I703" s="115">
        <v>111.3</v>
      </c>
      <c r="J703" s="167">
        <f t="shared" si="85"/>
        <v>1</v>
      </c>
      <c r="K703" s="223"/>
      <c r="L703" s="224"/>
    </row>
    <row r="704" spans="1:12" ht="18.75">
      <c r="A704" s="132"/>
      <c r="B704" s="132"/>
      <c r="C704" s="125" t="s">
        <v>36</v>
      </c>
      <c r="D704" s="125" t="s">
        <v>766</v>
      </c>
      <c r="E704" s="123" t="s">
        <v>814</v>
      </c>
      <c r="F704" s="115">
        <f t="shared" si="86"/>
        <v>700</v>
      </c>
      <c r="G704" s="115">
        <f t="shared" si="86"/>
        <v>0</v>
      </c>
      <c r="H704" s="115">
        <f t="shared" si="86"/>
        <v>700</v>
      </c>
      <c r="I704" s="115">
        <f t="shared" si="86"/>
        <v>700</v>
      </c>
      <c r="J704" s="167">
        <f t="shared" si="85"/>
        <v>1</v>
      </c>
      <c r="K704" s="223"/>
      <c r="L704" s="224"/>
    </row>
    <row r="705" spans="1:12" ht="18.75">
      <c r="A705" s="125"/>
      <c r="B705" s="125"/>
      <c r="C705" s="125"/>
      <c r="D705" s="125" t="s">
        <v>21</v>
      </c>
      <c r="E705" s="124" t="s">
        <v>22</v>
      </c>
      <c r="F705" s="115">
        <v>700</v>
      </c>
      <c r="G705" s="115"/>
      <c r="H705" s="115">
        <f>SUM(F705:G705)</f>
        <v>700</v>
      </c>
      <c r="I705" s="115">
        <v>700</v>
      </c>
      <c r="J705" s="167">
        <f t="shared" si="85"/>
        <v>1</v>
      </c>
      <c r="K705" s="223"/>
      <c r="L705" s="224"/>
    </row>
    <row r="706" spans="1:12" ht="37.5">
      <c r="A706" s="132"/>
      <c r="B706" s="132"/>
      <c r="C706" s="132" t="s">
        <v>39</v>
      </c>
      <c r="D706" s="132" t="s">
        <v>766</v>
      </c>
      <c r="E706" s="122" t="s">
        <v>501</v>
      </c>
      <c r="F706" s="130">
        <f>F707+F714</f>
        <v>476632.10000000003</v>
      </c>
      <c r="G706" s="130">
        <f>G707+G714</f>
        <v>0</v>
      </c>
      <c r="H706" s="130">
        <f>H707+H714</f>
        <v>518964.9</v>
      </c>
      <c r="I706" s="130">
        <f>I707+I714</f>
        <v>484060.4</v>
      </c>
      <c r="J706" s="166">
        <f t="shared" si="85"/>
        <v>0.9327420794739683</v>
      </c>
      <c r="K706" s="223"/>
      <c r="L706" s="224"/>
    </row>
    <row r="707" spans="1:12" ht="37.5">
      <c r="A707" s="132"/>
      <c r="B707" s="132"/>
      <c r="C707" s="132" t="s">
        <v>41</v>
      </c>
      <c r="D707" s="132"/>
      <c r="E707" s="122" t="s">
        <v>42</v>
      </c>
      <c r="F707" s="130">
        <f>F708++F712+F710</f>
        <v>74405.8</v>
      </c>
      <c r="G707" s="130">
        <f>G708++G712+G710</f>
        <v>0</v>
      </c>
      <c r="H707" s="130">
        <f>H708++H712+H710</f>
        <v>75356.29999999999</v>
      </c>
      <c r="I707" s="130">
        <f>I708++I712+I710</f>
        <v>73413.2</v>
      </c>
      <c r="J707" s="166">
        <f t="shared" si="85"/>
        <v>0.9742144983232989</v>
      </c>
      <c r="K707" s="223"/>
      <c r="L707" s="224"/>
    </row>
    <row r="708" spans="1:12" ht="18.75">
      <c r="A708" s="132"/>
      <c r="B708" s="132"/>
      <c r="C708" s="125" t="s">
        <v>48</v>
      </c>
      <c r="D708" s="125" t="s">
        <v>766</v>
      </c>
      <c r="E708" s="123" t="s">
        <v>49</v>
      </c>
      <c r="F708" s="115">
        <f>F709</f>
        <v>69442.8</v>
      </c>
      <c r="G708" s="115">
        <f>G709</f>
        <v>0</v>
      </c>
      <c r="H708" s="115">
        <f>H709</f>
        <v>66743.2</v>
      </c>
      <c r="I708" s="115">
        <f>I709</f>
        <v>66743.2</v>
      </c>
      <c r="J708" s="167">
        <f t="shared" si="85"/>
        <v>1</v>
      </c>
      <c r="K708" s="223"/>
      <c r="L708" s="224"/>
    </row>
    <row r="709" spans="1:12" ht="18.75">
      <c r="A709" s="125"/>
      <c r="B709" s="125"/>
      <c r="C709" s="125"/>
      <c r="D709" s="125" t="s">
        <v>21</v>
      </c>
      <c r="E709" s="124" t="s">
        <v>22</v>
      </c>
      <c r="F709" s="115">
        <v>69442.8</v>
      </c>
      <c r="G709" s="115"/>
      <c r="H709" s="115">
        <v>66743.2</v>
      </c>
      <c r="I709" s="115">
        <v>66743.2</v>
      </c>
      <c r="J709" s="167">
        <f t="shared" si="85"/>
        <v>1</v>
      </c>
      <c r="K709" s="223"/>
      <c r="L709" s="224"/>
    </row>
    <row r="710" spans="1:12" ht="37.5">
      <c r="A710" s="125"/>
      <c r="B710" s="125"/>
      <c r="C710" s="125" t="s">
        <v>815</v>
      </c>
      <c r="D710" s="125"/>
      <c r="E710" s="124" t="s">
        <v>1003</v>
      </c>
      <c r="F710" s="115">
        <f>F711</f>
        <v>4400.3</v>
      </c>
      <c r="G710" s="115">
        <f>G711</f>
        <v>0</v>
      </c>
      <c r="H710" s="115">
        <f>H711</f>
        <v>8050.4</v>
      </c>
      <c r="I710" s="115">
        <f>I711</f>
        <v>6107.3</v>
      </c>
      <c r="J710" s="167">
        <f t="shared" si="85"/>
        <v>0.7586331113981915</v>
      </c>
      <c r="K710" s="223"/>
      <c r="L710" s="224"/>
    </row>
    <row r="711" spans="1:12" ht="18.75">
      <c r="A711" s="125"/>
      <c r="B711" s="125"/>
      <c r="C711" s="125"/>
      <c r="D711" s="125" t="s">
        <v>21</v>
      </c>
      <c r="E711" s="124" t="s">
        <v>22</v>
      </c>
      <c r="F711" s="115">
        <v>4400.3</v>
      </c>
      <c r="G711" s="115"/>
      <c r="H711" s="115">
        <v>8050.4</v>
      </c>
      <c r="I711" s="115">
        <v>6107.3</v>
      </c>
      <c r="J711" s="167">
        <f t="shared" si="85"/>
        <v>0.7586331113981915</v>
      </c>
      <c r="K711" s="223"/>
      <c r="L711" s="224"/>
    </row>
    <row r="712" spans="1:12" ht="37.5">
      <c r="A712" s="132"/>
      <c r="B712" s="132"/>
      <c r="C712" s="125" t="s">
        <v>1008</v>
      </c>
      <c r="D712" s="125"/>
      <c r="E712" s="123" t="s">
        <v>50</v>
      </c>
      <c r="F712" s="115">
        <f>F713</f>
        <v>562.7</v>
      </c>
      <c r="G712" s="115">
        <f>G713</f>
        <v>0</v>
      </c>
      <c r="H712" s="115">
        <f>H713</f>
        <v>562.7</v>
      </c>
      <c r="I712" s="115">
        <f>I713</f>
        <v>562.7</v>
      </c>
      <c r="J712" s="167">
        <f t="shared" si="85"/>
        <v>1</v>
      </c>
      <c r="K712" s="223"/>
      <c r="L712" s="224"/>
    </row>
    <row r="713" spans="1:12" ht="18.75">
      <c r="A713" s="125"/>
      <c r="B713" s="125"/>
      <c r="C713" s="125"/>
      <c r="D713" s="125" t="s">
        <v>21</v>
      </c>
      <c r="E713" s="124" t="s">
        <v>22</v>
      </c>
      <c r="F713" s="115">
        <v>562.7</v>
      </c>
      <c r="G713" s="115"/>
      <c r="H713" s="115">
        <f>SUM(F713:G713)</f>
        <v>562.7</v>
      </c>
      <c r="I713" s="115">
        <v>562.7</v>
      </c>
      <c r="J713" s="167">
        <f t="shared" si="85"/>
        <v>1</v>
      </c>
      <c r="K713" s="223"/>
      <c r="L713" s="224"/>
    </row>
    <row r="714" spans="1:12" ht="18.75">
      <c r="A714" s="125"/>
      <c r="B714" s="125"/>
      <c r="C714" s="117" t="s">
        <v>56</v>
      </c>
      <c r="D714" s="136"/>
      <c r="E714" s="135" t="s">
        <v>57</v>
      </c>
      <c r="F714" s="130">
        <f>F717+F721</f>
        <v>402226.30000000005</v>
      </c>
      <c r="G714" s="130">
        <f>G717+G721</f>
        <v>0</v>
      </c>
      <c r="H714" s="130">
        <f>H717+H721+H715+H719</f>
        <v>443608.60000000003</v>
      </c>
      <c r="I714" s="130">
        <f>I717+I721+I715+I719</f>
        <v>410647.2</v>
      </c>
      <c r="J714" s="166">
        <f t="shared" si="85"/>
        <v>0.9256971122741984</v>
      </c>
      <c r="K714" s="223"/>
      <c r="L714" s="224"/>
    </row>
    <row r="715" spans="1:12" ht="18.75">
      <c r="A715" s="125"/>
      <c r="B715" s="125"/>
      <c r="C715" s="128" t="s">
        <v>1009</v>
      </c>
      <c r="D715" s="125"/>
      <c r="E715" s="124" t="s">
        <v>1085</v>
      </c>
      <c r="F715" s="130"/>
      <c r="G715" s="130"/>
      <c r="H715" s="115">
        <f>H716</f>
        <v>3043</v>
      </c>
      <c r="I715" s="115">
        <f>I716</f>
        <v>3043</v>
      </c>
      <c r="J715" s="167">
        <f t="shared" si="85"/>
        <v>1</v>
      </c>
      <c r="K715" s="223"/>
      <c r="L715" s="224"/>
    </row>
    <row r="716" spans="1:12" ht="18.75">
      <c r="A716" s="125"/>
      <c r="B716" s="125"/>
      <c r="C716" s="128"/>
      <c r="D716" s="125" t="s">
        <v>21</v>
      </c>
      <c r="E716" s="124" t="s">
        <v>22</v>
      </c>
      <c r="F716" s="130"/>
      <c r="G716" s="130"/>
      <c r="H716" s="115">
        <v>3043</v>
      </c>
      <c r="I716" s="115">
        <v>3043</v>
      </c>
      <c r="J716" s="167">
        <f t="shared" si="85"/>
        <v>1</v>
      </c>
      <c r="K716" s="223"/>
      <c r="L716" s="224"/>
    </row>
    <row r="717" spans="1:12" ht="30" customHeight="1">
      <c r="A717" s="125"/>
      <c r="B717" s="125"/>
      <c r="C717" s="126" t="s">
        <v>424</v>
      </c>
      <c r="D717" s="126"/>
      <c r="E717" s="143" t="s">
        <v>1004</v>
      </c>
      <c r="F717" s="131">
        <f>F718</f>
        <v>394722.10000000003</v>
      </c>
      <c r="G717" s="131">
        <f>G718</f>
        <v>0</v>
      </c>
      <c r="H717" s="131">
        <f>H718</f>
        <v>431653.2</v>
      </c>
      <c r="I717" s="131">
        <f>I718</f>
        <v>399233.1</v>
      </c>
      <c r="J717" s="169">
        <f t="shared" si="85"/>
        <v>0.9248931781346691</v>
      </c>
      <c r="K717" s="223"/>
      <c r="L717" s="224"/>
    </row>
    <row r="718" spans="1:12" ht="18.75">
      <c r="A718" s="125"/>
      <c r="B718" s="125"/>
      <c r="C718" s="126"/>
      <c r="D718" s="119" t="s">
        <v>21</v>
      </c>
      <c r="E718" s="120" t="s">
        <v>22</v>
      </c>
      <c r="F718" s="131">
        <f>330941.9+36813.6+12910.5+193.7+253.5+3.8+12862.4+736.4+6.3</f>
        <v>394722.10000000003</v>
      </c>
      <c r="G718" s="131"/>
      <c r="H718" s="131">
        <v>431653.2</v>
      </c>
      <c r="I718" s="131">
        <v>399233.1</v>
      </c>
      <c r="J718" s="169">
        <f t="shared" si="85"/>
        <v>0.9248931781346691</v>
      </c>
      <c r="K718" s="223"/>
      <c r="L718" s="224"/>
    </row>
    <row r="719" spans="1:12" ht="18.75">
      <c r="A719" s="125"/>
      <c r="B719" s="125"/>
      <c r="C719" s="126" t="s">
        <v>425</v>
      </c>
      <c r="D719" s="119"/>
      <c r="E719" s="120" t="s">
        <v>453</v>
      </c>
      <c r="F719" s="131"/>
      <c r="G719" s="131"/>
      <c r="H719" s="131">
        <f>H720</f>
        <v>1972.4</v>
      </c>
      <c r="I719" s="131">
        <f>I720</f>
        <v>1972.4</v>
      </c>
      <c r="J719" s="169">
        <f t="shared" si="85"/>
        <v>1</v>
      </c>
      <c r="K719" s="223"/>
      <c r="L719" s="224"/>
    </row>
    <row r="720" spans="1:12" ht="18.75">
      <c r="A720" s="125"/>
      <c r="B720" s="125"/>
      <c r="C720" s="126"/>
      <c r="D720" s="119" t="s">
        <v>21</v>
      </c>
      <c r="E720" s="120" t="s">
        <v>22</v>
      </c>
      <c r="F720" s="131"/>
      <c r="G720" s="131"/>
      <c r="H720" s="131">
        <v>1972.4</v>
      </c>
      <c r="I720" s="131">
        <v>1972.4</v>
      </c>
      <c r="J720" s="169">
        <f t="shared" si="85"/>
        <v>1</v>
      </c>
      <c r="K720" s="223"/>
      <c r="L720" s="224"/>
    </row>
    <row r="721" spans="1:12" ht="78" customHeight="1">
      <c r="A721" s="125"/>
      <c r="B721" s="125"/>
      <c r="C721" s="126" t="s">
        <v>1010</v>
      </c>
      <c r="D721" s="126"/>
      <c r="E721" s="120" t="s">
        <v>55</v>
      </c>
      <c r="F721" s="131">
        <f>F722</f>
        <v>7504.2</v>
      </c>
      <c r="G721" s="131">
        <f>G722</f>
        <v>0</v>
      </c>
      <c r="H721" s="131">
        <f>H722</f>
        <v>6940</v>
      </c>
      <c r="I721" s="131">
        <f>I722</f>
        <v>6398.7</v>
      </c>
      <c r="J721" s="169">
        <f t="shared" si="85"/>
        <v>0.9220028818443804</v>
      </c>
      <c r="K721" s="223"/>
      <c r="L721" s="224"/>
    </row>
    <row r="722" spans="1:12" ht="18.75">
      <c r="A722" s="125"/>
      <c r="B722" s="125"/>
      <c r="C722" s="126"/>
      <c r="D722" s="119" t="s">
        <v>21</v>
      </c>
      <c r="E722" s="120" t="s">
        <v>22</v>
      </c>
      <c r="F722" s="131">
        <v>7504.2</v>
      </c>
      <c r="G722" s="131"/>
      <c r="H722" s="131">
        <v>6940</v>
      </c>
      <c r="I722" s="131">
        <v>6398.7</v>
      </c>
      <c r="J722" s="169">
        <f t="shared" si="85"/>
        <v>0.9220028818443804</v>
      </c>
      <c r="K722" s="223"/>
      <c r="L722" s="224"/>
    </row>
    <row r="723" spans="1:12" ht="37.5" customHeight="1">
      <c r="A723" s="132"/>
      <c r="B723" s="132"/>
      <c r="C723" s="132" t="s">
        <v>102</v>
      </c>
      <c r="D723" s="132"/>
      <c r="E723" s="122" t="s">
        <v>770</v>
      </c>
      <c r="F723" s="130">
        <f>F724+F733</f>
        <v>2976.2</v>
      </c>
      <c r="G723" s="130">
        <f>G724+G733</f>
        <v>0</v>
      </c>
      <c r="H723" s="130">
        <f>H724+H733</f>
        <v>3623.3999999999996</v>
      </c>
      <c r="I723" s="130">
        <f>I724+I733</f>
        <v>3623.3999999999996</v>
      </c>
      <c r="J723" s="166">
        <f t="shared" si="85"/>
        <v>1</v>
      </c>
      <c r="K723" s="223"/>
      <c r="L723" s="224"/>
    </row>
    <row r="724" spans="1:12" ht="18.75">
      <c r="A724" s="132"/>
      <c r="B724" s="132"/>
      <c r="C724" s="132" t="s">
        <v>103</v>
      </c>
      <c r="D724" s="132"/>
      <c r="E724" s="122" t="s">
        <v>353</v>
      </c>
      <c r="F724" s="130">
        <f>F725+F730</f>
        <v>1081.4</v>
      </c>
      <c r="G724" s="130">
        <f>G725+G730</f>
        <v>0</v>
      </c>
      <c r="H724" s="130">
        <f>H725+H730</f>
        <v>1953.6</v>
      </c>
      <c r="I724" s="130">
        <f>I725+I730</f>
        <v>1953.6</v>
      </c>
      <c r="J724" s="166">
        <f t="shared" si="85"/>
        <v>1</v>
      </c>
      <c r="K724" s="223"/>
      <c r="L724" s="224"/>
    </row>
    <row r="725" spans="1:12" ht="26.25" customHeight="1">
      <c r="A725" s="132"/>
      <c r="B725" s="132"/>
      <c r="C725" s="132" t="s">
        <v>431</v>
      </c>
      <c r="D725" s="132"/>
      <c r="E725" s="122" t="s">
        <v>915</v>
      </c>
      <c r="F725" s="130">
        <f aca="true" t="shared" si="87" ref="F725:I726">F726</f>
        <v>290</v>
      </c>
      <c r="G725" s="130">
        <f t="shared" si="87"/>
        <v>0</v>
      </c>
      <c r="H725" s="130">
        <f>H726+H728</f>
        <v>1162.2</v>
      </c>
      <c r="I725" s="130">
        <f>I726+I728</f>
        <v>1162.2</v>
      </c>
      <c r="J725" s="166">
        <f t="shared" si="85"/>
        <v>1</v>
      </c>
      <c r="K725" s="223"/>
      <c r="L725" s="224"/>
    </row>
    <row r="726" spans="1:12" ht="30" customHeight="1">
      <c r="A726" s="132"/>
      <c r="B726" s="132"/>
      <c r="C726" s="125" t="s">
        <v>430</v>
      </c>
      <c r="D726" s="125" t="s">
        <v>766</v>
      </c>
      <c r="E726" s="123" t="s">
        <v>429</v>
      </c>
      <c r="F726" s="115">
        <f t="shared" si="87"/>
        <v>290</v>
      </c>
      <c r="G726" s="115">
        <f t="shared" si="87"/>
        <v>0</v>
      </c>
      <c r="H726" s="115">
        <f t="shared" si="87"/>
        <v>906.7</v>
      </c>
      <c r="I726" s="115">
        <f t="shared" si="87"/>
        <v>906.7</v>
      </c>
      <c r="J726" s="167">
        <f t="shared" si="85"/>
        <v>1</v>
      </c>
      <c r="K726" s="223"/>
      <c r="L726" s="224"/>
    </row>
    <row r="727" spans="1:12" ht="18.75">
      <c r="A727" s="132"/>
      <c r="B727" s="132"/>
      <c r="C727" s="132"/>
      <c r="D727" s="125" t="s">
        <v>21</v>
      </c>
      <c r="E727" s="124" t="s">
        <v>22</v>
      </c>
      <c r="F727" s="115">
        <v>290</v>
      </c>
      <c r="G727" s="115"/>
      <c r="H727" s="115">
        <v>906.7</v>
      </c>
      <c r="I727" s="115">
        <v>906.7</v>
      </c>
      <c r="J727" s="167">
        <f t="shared" si="85"/>
        <v>1</v>
      </c>
      <c r="K727" s="223"/>
      <c r="L727" s="224"/>
    </row>
    <row r="728" spans="1:12" ht="18.75">
      <c r="A728" s="132"/>
      <c r="B728" s="132"/>
      <c r="C728" s="125" t="s">
        <v>448</v>
      </c>
      <c r="D728" s="125" t="s">
        <v>766</v>
      </c>
      <c r="E728" s="123" t="s">
        <v>447</v>
      </c>
      <c r="F728" s="115"/>
      <c r="G728" s="115"/>
      <c r="H728" s="115">
        <f>H729</f>
        <v>255.5</v>
      </c>
      <c r="I728" s="115">
        <f>I729</f>
        <v>255.5</v>
      </c>
      <c r="J728" s="167">
        <f t="shared" si="85"/>
        <v>1</v>
      </c>
      <c r="K728" s="223"/>
      <c r="L728" s="224"/>
    </row>
    <row r="729" spans="1:12" ht="18.75">
      <c r="A729" s="132"/>
      <c r="B729" s="132"/>
      <c r="C729" s="132"/>
      <c r="D729" s="125" t="s">
        <v>21</v>
      </c>
      <c r="E729" s="124" t="s">
        <v>22</v>
      </c>
      <c r="F729" s="115"/>
      <c r="G729" s="115"/>
      <c r="H729" s="115">
        <v>255.5</v>
      </c>
      <c r="I729" s="115">
        <v>255.5</v>
      </c>
      <c r="J729" s="167">
        <f t="shared" si="85"/>
        <v>1</v>
      </c>
      <c r="K729" s="223"/>
      <c r="L729" s="224"/>
    </row>
    <row r="730" spans="1:12" ht="37.5">
      <c r="A730" s="125"/>
      <c r="B730" s="125"/>
      <c r="C730" s="132" t="s">
        <v>1011</v>
      </c>
      <c r="D730" s="132"/>
      <c r="E730" s="122" t="s">
        <v>1012</v>
      </c>
      <c r="F730" s="130">
        <f aca="true" t="shared" si="88" ref="F730:I731">F731</f>
        <v>791.4</v>
      </c>
      <c r="G730" s="130">
        <f t="shared" si="88"/>
        <v>0</v>
      </c>
      <c r="H730" s="130">
        <f t="shared" si="88"/>
        <v>791.4</v>
      </c>
      <c r="I730" s="130">
        <f t="shared" si="88"/>
        <v>791.4</v>
      </c>
      <c r="J730" s="166">
        <f t="shared" si="85"/>
        <v>1</v>
      </c>
      <c r="K730" s="223"/>
      <c r="L730" s="224"/>
    </row>
    <row r="731" spans="1:12" ht="25.5" customHeight="1">
      <c r="A731" s="125"/>
      <c r="B731" s="125"/>
      <c r="C731" s="125" t="s">
        <v>1013</v>
      </c>
      <c r="D731" s="125"/>
      <c r="E731" s="124" t="s">
        <v>1014</v>
      </c>
      <c r="F731" s="115">
        <f t="shared" si="88"/>
        <v>791.4</v>
      </c>
      <c r="G731" s="115">
        <f t="shared" si="88"/>
        <v>0</v>
      </c>
      <c r="H731" s="115">
        <f t="shared" si="88"/>
        <v>791.4</v>
      </c>
      <c r="I731" s="115">
        <f t="shared" si="88"/>
        <v>791.4</v>
      </c>
      <c r="J731" s="167">
        <f t="shared" si="85"/>
        <v>1</v>
      </c>
      <c r="K731" s="223"/>
      <c r="L731" s="224"/>
    </row>
    <row r="732" spans="1:12" ht="18.75">
      <c r="A732" s="125"/>
      <c r="B732" s="125"/>
      <c r="C732" s="125"/>
      <c r="D732" s="125" t="s">
        <v>21</v>
      </c>
      <c r="E732" s="124" t="s">
        <v>22</v>
      </c>
      <c r="F732" s="115">
        <v>791.4</v>
      </c>
      <c r="G732" s="115"/>
      <c r="H732" s="115">
        <f>SUM(F732:G732)</f>
        <v>791.4</v>
      </c>
      <c r="I732" s="115">
        <v>791.4</v>
      </c>
      <c r="J732" s="167">
        <f aca="true" t="shared" si="89" ref="J732:J763">I732/H732</f>
        <v>1</v>
      </c>
      <c r="K732" s="223"/>
      <c r="L732" s="224"/>
    </row>
    <row r="733" spans="1:12" ht="18.75">
      <c r="A733" s="125"/>
      <c r="B733" s="125"/>
      <c r="C733" s="132" t="s">
        <v>116</v>
      </c>
      <c r="D733" s="132"/>
      <c r="E733" s="122" t="s">
        <v>117</v>
      </c>
      <c r="F733" s="130">
        <f>F734</f>
        <v>1894.8</v>
      </c>
      <c r="G733" s="130">
        <f aca="true" t="shared" si="90" ref="G733:I735">G734</f>
        <v>0</v>
      </c>
      <c r="H733" s="130">
        <f t="shared" si="90"/>
        <v>1669.8</v>
      </c>
      <c r="I733" s="130">
        <f t="shared" si="90"/>
        <v>1669.8</v>
      </c>
      <c r="J733" s="166">
        <f t="shared" si="89"/>
        <v>1</v>
      </c>
      <c r="K733" s="223"/>
      <c r="L733" s="224"/>
    </row>
    <row r="734" spans="1:12" ht="18.75">
      <c r="A734" s="125"/>
      <c r="B734" s="125"/>
      <c r="C734" s="132" t="s">
        <v>122</v>
      </c>
      <c r="D734" s="132"/>
      <c r="E734" s="122" t="s">
        <v>917</v>
      </c>
      <c r="F734" s="130">
        <f>F735</f>
        <v>1894.8</v>
      </c>
      <c r="G734" s="130">
        <f t="shared" si="90"/>
        <v>0</v>
      </c>
      <c r="H734" s="130">
        <f t="shared" si="90"/>
        <v>1669.8</v>
      </c>
      <c r="I734" s="130">
        <f t="shared" si="90"/>
        <v>1669.8</v>
      </c>
      <c r="J734" s="166">
        <f t="shared" si="89"/>
        <v>1</v>
      </c>
      <c r="K734" s="223"/>
      <c r="L734" s="224"/>
    </row>
    <row r="735" spans="1:12" ht="18.75">
      <c r="A735" s="125"/>
      <c r="B735" s="125"/>
      <c r="C735" s="125" t="s">
        <v>1005</v>
      </c>
      <c r="D735" s="125"/>
      <c r="E735" s="124" t="s">
        <v>1006</v>
      </c>
      <c r="F735" s="115">
        <f>F736</f>
        <v>1894.8</v>
      </c>
      <c r="G735" s="115">
        <f t="shared" si="90"/>
        <v>0</v>
      </c>
      <c r="H735" s="115">
        <f t="shared" si="90"/>
        <v>1669.8</v>
      </c>
      <c r="I735" s="115">
        <f t="shared" si="90"/>
        <v>1669.8</v>
      </c>
      <c r="J735" s="167">
        <f t="shared" si="89"/>
        <v>1</v>
      </c>
      <c r="K735" s="223"/>
      <c r="L735" s="224"/>
    </row>
    <row r="736" spans="1:12" ht="18.75">
      <c r="A736" s="125"/>
      <c r="B736" s="125"/>
      <c r="C736" s="125"/>
      <c r="D736" s="125" t="s">
        <v>21</v>
      </c>
      <c r="E736" s="124" t="s">
        <v>22</v>
      </c>
      <c r="F736" s="115">
        <v>1894.8</v>
      </c>
      <c r="G736" s="115"/>
      <c r="H736" s="115">
        <v>1669.8</v>
      </c>
      <c r="I736" s="115">
        <v>1669.8</v>
      </c>
      <c r="J736" s="167">
        <f t="shared" si="89"/>
        <v>1</v>
      </c>
      <c r="K736" s="223"/>
      <c r="L736" s="224"/>
    </row>
    <row r="737" spans="1:12" ht="18.75">
      <c r="A737" s="125"/>
      <c r="B737" s="132" t="s">
        <v>797</v>
      </c>
      <c r="C737" s="132"/>
      <c r="D737" s="132"/>
      <c r="E737" s="134" t="s">
        <v>798</v>
      </c>
      <c r="F737" s="130" t="e">
        <f>F738+F751</f>
        <v>#REF!</v>
      </c>
      <c r="G737" s="130" t="e">
        <f>G738+G751</f>
        <v>#REF!</v>
      </c>
      <c r="H737" s="130">
        <f>H738+H751</f>
        <v>96179.5</v>
      </c>
      <c r="I737" s="130">
        <f>I738+I751</f>
        <v>96124.4</v>
      </c>
      <c r="J737" s="166">
        <f t="shared" si="89"/>
        <v>0.9994271128462926</v>
      </c>
      <c r="K737" s="223"/>
      <c r="L737" s="224"/>
    </row>
    <row r="738" spans="1:12" ht="18.75">
      <c r="A738" s="132"/>
      <c r="B738" s="132"/>
      <c r="C738" s="132" t="s">
        <v>16</v>
      </c>
      <c r="D738" s="132" t="s">
        <v>766</v>
      </c>
      <c r="E738" s="122" t="s">
        <v>17</v>
      </c>
      <c r="F738" s="130" t="e">
        <f>F739+F747</f>
        <v>#REF!</v>
      </c>
      <c r="G738" s="130" t="e">
        <f>G739+G747</f>
        <v>#REF!</v>
      </c>
      <c r="H738" s="130">
        <f>H739+H747</f>
        <v>95102.8</v>
      </c>
      <c r="I738" s="130">
        <f>I739+I747</f>
        <v>95047.7</v>
      </c>
      <c r="J738" s="166">
        <f t="shared" si="89"/>
        <v>0.9994206269426347</v>
      </c>
      <c r="K738" s="223"/>
      <c r="L738" s="224"/>
    </row>
    <row r="739" spans="1:12" ht="18.75">
      <c r="A739" s="132"/>
      <c r="B739" s="132"/>
      <c r="C739" s="132" t="s">
        <v>18</v>
      </c>
      <c r="D739" s="132" t="s">
        <v>766</v>
      </c>
      <c r="E739" s="122" t="s">
        <v>19</v>
      </c>
      <c r="F739" s="130" t="e">
        <f>F740</f>
        <v>#REF!</v>
      </c>
      <c r="G739" s="130" t="e">
        <f>G740</f>
        <v>#REF!</v>
      </c>
      <c r="H739" s="130">
        <f>H740</f>
        <v>9220.8</v>
      </c>
      <c r="I739" s="130">
        <f>I740</f>
        <v>9220.699999999999</v>
      </c>
      <c r="J739" s="166">
        <f t="shared" si="89"/>
        <v>0.999989154954017</v>
      </c>
      <c r="K739" s="223"/>
      <c r="L739" s="224"/>
    </row>
    <row r="740" spans="1:12" ht="35.25" customHeight="1">
      <c r="A740" s="132"/>
      <c r="B740" s="132"/>
      <c r="C740" s="132" t="s">
        <v>20</v>
      </c>
      <c r="D740" s="132"/>
      <c r="E740" s="122" t="s">
        <v>934</v>
      </c>
      <c r="F740" s="130" t="e">
        <f>F743+#REF!+F741</f>
        <v>#REF!</v>
      </c>
      <c r="G740" s="130" t="e">
        <f>G743+#REF!+G741</f>
        <v>#REF!</v>
      </c>
      <c r="H740" s="130">
        <f>H743+H741+H745</f>
        <v>9220.8</v>
      </c>
      <c r="I740" s="130">
        <f>I743+I741+I745</f>
        <v>9220.699999999999</v>
      </c>
      <c r="J740" s="166">
        <f t="shared" si="89"/>
        <v>0.999989154954017</v>
      </c>
      <c r="K740" s="223"/>
      <c r="L740" s="224"/>
    </row>
    <row r="741" spans="1:12" ht="18.75">
      <c r="A741" s="132"/>
      <c r="B741" s="132"/>
      <c r="C741" s="125" t="s">
        <v>23</v>
      </c>
      <c r="D741" s="125" t="s">
        <v>766</v>
      </c>
      <c r="E741" s="123" t="s">
        <v>450</v>
      </c>
      <c r="F741" s="115">
        <f>F742</f>
        <v>100</v>
      </c>
      <c r="G741" s="115">
        <f>G742</f>
        <v>0</v>
      </c>
      <c r="H741" s="115">
        <f>H742</f>
        <v>150</v>
      </c>
      <c r="I741" s="115">
        <f>I742</f>
        <v>149.9</v>
      </c>
      <c r="J741" s="167">
        <f t="shared" si="89"/>
        <v>0.9993333333333334</v>
      </c>
      <c r="K741" s="223"/>
      <c r="L741" s="224"/>
    </row>
    <row r="742" spans="1:12" ht="18.75">
      <c r="A742" s="125"/>
      <c r="B742" s="125"/>
      <c r="C742" s="125"/>
      <c r="D742" s="125" t="s">
        <v>21</v>
      </c>
      <c r="E742" s="124" t="s">
        <v>22</v>
      </c>
      <c r="F742" s="115">
        <v>100</v>
      </c>
      <c r="G742" s="115"/>
      <c r="H742" s="115">
        <v>150</v>
      </c>
      <c r="I742" s="115">
        <v>149.9</v>
      </c>
      <c r="J742" s="167">
        <f t="shared" si="89"/>
        <v>0.9993333333333334</v>
      </c>
      <c r="K742" s="223"/>
      <c r="L742" s="224"/>
    </row>
    <row r="743" spans="1:12" ht="18.75">
      <c r="A743" s="132"/>
      <c r="B743" s="132"/>
      <c r="C743" s="125" t="s">
        <v>396</v>
      </c>
      <c r="D743" s="125" t="s">
        <v>766</v>
      </c>
      <c r="E743" s="123" t="s">
        <v>810</v>
      </c>
      <c r="F743" s="115">
        <f>F744</f>
        <v>100</v>
      </c>
      <c r="G743" s="115">
        <f>G744</f>
        <v>0</v>
      </c>
      <c r="H743" s="115">
        <f>H744</f>
        <v>100</v>
      </c>
      <c r="I743" s="115">
        <f>I744</f>
        <v>100</v>
      </c>
      <c r="J743" s="167">
        <f t="shared" si="89"/>
        <v>1</v>
      </c>
      <c r="K743" s="223"/>
      <c r="L743" s="224"/>
    </row>
    <row r="744" spans="1:12" ht="18.75">
      <c r="A744" s="125"/>
      <c r="B744" s="132"/>
      <c r="C744" s="125"/>
      <c r="D744" s="125" t="s">
        <v>21</v>
      </c>
      <c r="E744" s="124" t="s">
        <v>22</v>
      </c>
      <c r="F744" s="115">
        <v>100</v>
      </c>
      <c r="G744" s="115"/>
      <c r="H744" s="115">
        <f>SUM(F744:G744)</f>
        <v>100</v>
      </c>
      <c r="I744" s="115">
        <v>100</v>
      </c>
      <c r="J744" s="167">
        <f t="shared" si="89"/>
        <v>1</v>
      </c>
      <c r="K744" s="223"/>
      <c r="L744" s="224"/>
    </row>
    <row r="745" spans="1:12" ht="18.75">
      <c r="A745" s="125"/>
      <c r="B745" s="132"/>
      <c r="C745" s="125" t="s">
        <v>26</v>
      </c>
      <c r="D745" s="125"/>
      <c r="E745" s="124" t="s">
        <v>1015</v>
      </c>
      <c r="F745" s="115"/>
      <c r="G745" s="115"/>
      <c r="H745" s="115">
        <f>H746</f>
        <v>8970.8</v>
      </c>
      <c r="I745" s="115">
        <f>I746</f>
        <v>8970.8</v>
      </c>
      <c r="J745" s="167">
        <f t="shared" si="89"/>
        <v>1</v>
      </c>
      <c r="K745" s="223"/>
      <c r="L745" s="224"/>
    </row>
    <row r="746" spans="1:12" ht="18.75">
      <c r="A746" s="125"/>
      <c r="B746" s="132"/>
      <c r="C746" s="125"/>
      <c r="D746" s="125" t="s">
        <v>21</v>
      </c>
      <c r="E746" s="124" t="s">
        <v>22</v>
      </c>
      <c r="F746" s="115"/>
      <c r="G746" s="115"/>
      <c r="H746" s="115">
        <v>8970.8</v>
      </c>
      <c r="I746" s="115">
        <v>8970.8</v>
      </c>
      <c r="J746" s="167">
        <f t="shared" si="89"/>
        <v>1</v>
      </c>
      <c r="K746" s="223"/>
      <c r="L746" s="224"/>
    </row>
    <row r="747" spans="1:12" ht="37.5">
      <c r="A747" s="132"/>
      <c r="B747" s="132"/>
      <c r="C747" s="132" t="s">
        <v>39</v>
      </c>
      <c r="D747" s="132" t="s">
        <v>766</v>
      </c>
      <c r="E747" s="122" t="s">
        <v>501</v>
      </c>
      <c r="F747" s="130">
        <f>F748</f>
        <v>85018.4</v>
      </c>
      <c r="G747" s="130">
        <f aca="true" t="shared" si="91" ref="G747:I749">G748</f>
        <v>0</v>
      </c>
      <c r="H747" s="130">
        <f t="shared" si="91"/>
        <v>85882</v>
      </c>
      <c r="I747" s="130">
        <f t="shared" si="91"/>
        <v>85827</v>
      </c>
      <c r="J747" s="166">
        <f t="shared" si="89"/>
        <v>0.9993595864092593</v>
      </c>
      <c r="K747" s="223"/>
      <c r="L747" s="224"/>
    </row>
    <row r="748" spans="1:12" ht="37.5">
      <c r="A748" s="132"/>
      <c r="B748" s="132"/>
      <c r="C748" s="132" t="s">
        <v>41</v>
      </c>
      <c r="D748" s="132"/>
      <c r="E748" s="122" t="s">
        <v>42</v>
      </c>
      <c r="F748" s="130">
        <f>F749</f>
        <v>85018.4</v>
      </c>
      <c r="G748" s="130">
        <f t="shared" si="91"/>
        <v>0</v>
      </c>
      <c r="H748" s="130">
        <f t="shared" si="91"/>
        <v>85882</v>
      </c>
      <c r="I748" s="130">
        <f t="shared" si="91"/>
        <v>85827</v>
      </c>
      <c r="J748" s="166">
        <f t="shared" si="89"/>
        <v>0.9993595864092593</v>
      </c>
      <c r="K748" s="223"/>
      <c r="L748" s="224"/>
    </row>
    <row r="749" spans="1:12" ht="18.75">
      <c r="A749" s="125"/>
      <c r="B749" s="125"/>
      <c r="C749" s="125" t="s">
        <v>51</v>
      </c>
      <c r="D749" s="125" t="s">
        <v>766</v>
      </c>
      <c r="E749" s="123" t="s">
        <v>52</v>
      </c>
      <c r="F749" s="115">
        <f>F750</f>
        <v>85018.4</v>
      </c>
      <c r="G749" s="115">
        <f t="shared" si="91"/>
        <v>0</v>
      </c>
      <c r="H749" s="115">
        <f t="shared" si="91"/>
        <v>85882</v>
      </c>
      <c r="I749" s="115">
        <f t="shared" si="91"/>
        <v>85827</v>
      </c>
      <c r="J749" s="167">
        <f t="shared" si="89"/>
        <v>0.9993595864092593</v>
      </c>
      <c r="K749" s="223"/>
      <c r="L749" s="224"/>
    </row>
    <row r="750" spans="1:12" ht="18.75">
      <c r="A750" s="125"/>
      <c r="B750" s="125"/>
      <c r="C750" s="125"/>
      <c r="D750" s="125" t="s">
        <v>21</v>
      </c>
      <c r="E750" s="124" t="s">
        <v>22</v>
      </c>
      <c r="F750" s="115">
        <v>85018.4</v>
      </c>
      <c r="G750" s="115"/>
      <c r="H750" s="115">
        <v>85882</v>
      </c>
      <c r="I750" s="115">
        <v>85827</v>
      </c>
      <c r="J750" s="167">
        <f t="shared" si="89"/>
        <v>0.9993595864092593</v>
      </c>
      <c r="K750" s="223"/>
      <c r="L750" s="224"/>
    </row>
    <row r="751" spans="1:12" ht="42" customHeight="1">
      <c r="A751" s="132"/>
      <c r="B751" s="132"/>
      <c r="C751" s="132" t="s">
        <v>102</v>
      </c>
      <c r="D751" s="132" t="s">
        <v>766</v>
      </c>
      <c r="E751" s="122" t="s">
        <v>770</v>
      </c>
      <c r="F751" s="130">
        <f>F752+F758</f>
        <v>921.5999999999999</v>
      </c>
      <c r="G751" s="130">
        <f>G752+G758</f>
        <v>0</v>
      </c>
      <c r="H751" s="130">
        <f>H752+H758</f>
        <v>1076.6999999999998</v>
      </c>
      <c r="I751" s="130">
        <f>I752+I758</f>
        <v>1076.6999999999998</v>
      </c>
      <c r="J751" s="166">
        <f t="shared" si="89"/>
        <v>1</v>
      </c>
      <c r="K751" s="223"/>
      <c r="L751" s="224"/>
    </row>
    <row r="752" spans="1:12" ht="18.75">
      <c r="A752" s="132"/>
      <c r="B752" s="132"/>
      <c r="C752" s="132" t="s">
        <v>103</v>
      </c>
      <c r="D752" s="132" t="s">
        <v>766</v>
      </c>
      <c r="E752" s="122" t="s">
        <v>353</v>
      </c>
      <c r="F752" s="130">
        <f>F753</f>
        <v>590.9</v>
      </c>
      <c r="G752" s="130">
        <f aca="true" t="shared" si="92" ref="G752:I754">G753</f>
        <v>0</v>
      </c>
      <c r="H752" s="130">
        <f t="shared" si="92"/>
        <v>729.8</v>
      </c>
      <c r="I752" s="130">
        <f t="shared" si="92"/>
        <v>729.8</v>
      </c>
      <c r="J752" s="166">
        <f t="shared" si="89"/>
        <v>1</v>
      </c>
      <c r="K752" s="223"/>
      <c r="L752" s="224"/>
    </row>
    <row r="753" spans="1:12" ht="18.75">
      <c r="A753" s="132"/>
      <c r="B753" s="132"/>
      <c r="C753" s="132" t="s">
        <v>431</v>
      </c>
      <c r="D753" s="132"/>
      <c r="E753" s="122" t="s">
        <v>915</v>
      </c>
      <c r="F753" s="130">
        <f>F754</f>
        <v>590.9</v>
      </c>
      <c r="G753" s="130">
        <f t="shared" si="92"/>
        <v>0</v>
      </c>
      <c r="H753" s="130">
        <f>H754+H756</f>
        <v>729.8</v>
      </c>
      <c r="I753" s="130">
        <f>I754+I756</f>
        <v>729.8</v>
      </c>
      <c r="J753" s="166">
        <f t="shared" si="89"/>
        <v>1</v>
      </c>
      <c r="K753" s="223"/>
      <c r="L753" s="224"/>
    </row>
    <row r="754" spans="1:12" ht="31.5" customHeight="1">
      <c r="A754" s="132"/>
      <c r="B754" s="132"/>
      <c r="C754" s="125" t="s">
        <v>430</v>
      </c>
      <c r="D754" s="125" t="s">
        <v>766</v>
      </c>
      <c r="E754" s="123" t="s">
        <v>429</v>
      </c>
      <c r="F754" s="115">
        <f>F755</f>
        <v>590.9</v>
      </c>
      <c r="G754" s="115">
        <f t="shared" si="92"/>
        <v>0</v>
      </c>
      <c r="H754" s="115">
        <f t="shared" si="92"/>
        <v>598.1</v>
      </c>
      <c r="I754" s="115">
        <f t="shared" si="92"/>
        <v>598.1</v>
      </c>
      <c r="J754" s="167">
        <f t="shared" si="89"/>
        <v>1</v>
      </c>
      <c r="K754" s="223"/>
      <c r="L754" s="224"/>
    </row>
    <row r="755" spans="1:12" ht="40.5" customHeight="1">
      <c r="A755" s="132"/>
      <c r="B755" s="132"/>
      <c r="C755" s="132"/>
      <c r="D755" s="125" t="s">
        <v>21</v>
      </c>
      <c r="E755" s="124" t="s">
        <v>22</v>
      </c>
      <c r="F755" s="115">
        <v>590.9</v>
      </c>
      <c r="G755" s="115"/>
      <c r="H755" s="115">
        <v>598.1</v>
      </c>
      <c r="I755" s="115">
        <v>598.1</v>
      </c>
      <c r="J755" s="167">
        <f t="shared" si="89"/>
        <v>1</v>
      </c>
      <c r="K755" s="223"/>
      <c r="L755" s="224"/>
    </row>
    <row r="756" spans="1:12" ht="18.75">
      <c r="A756" s="132"/>
      <c r="B756" s="132"/>
      <c r="C756" s="125" t="s">
        <v>448</v>
      </c>
      <c r="D756" s="125" t="s">
        <v>766</v>
      </c>
      <c r="E756" s="123" t="s">
        <v>447</v>
      </c>
      <c r="F756" s="115"/>
      <c r="G756" s="115"/>
      <c r="H756" s="115">
        <f>H757</f>
        <v>131.7</v>
      </c>
      <c r="I756" s="115">
        <f>I757</f>
        <v>131.7</v>
      </c>
      <c r="J756" s="167">
        <f t="shared" si="89"/>
        <v>1</v>
      </c>
      <c r="K756" s="223"/>
      <c r="L756" s="224"/>
    </row>
    <row r="757" spans="1:12" ht="18.75">
      <c r="A757" s="132"/>
      <c r="B757" s="132"/>
      <c r="C757" s="132"/>
      <c r="D757" s="125" t="s">
        <v>21</v>
      </c>
      <c r="E757" s="124" t="s">
        <v>22</v>
      </c>
      <c r="F757" s="115"/>
      <c r="G757" s="115"/>
      <c r="H757" s="115">
        <v>131.7</v>
      </c>
      <c r="I757" s="115">
        <v>131.7</v>
      </c>
      <c r="J757" s="167">
        <f t="shared" si="89"/>
        <v>1</v>
      </c>
      <c r="K757" s="223"/>
      <c r="L757" s="224"/>
    </row>
    <row r="758" spans="1:12" ht="18.75">
      <c r="A758" s="132"/>
      <c r="B758" s="132"/>
      <c r="C758" s="132" t="s">
        <v>116</v>
      </c>
      <c r="D758" s="132"/>
      <c r="E758" s="122" t="s">
        <v>117</v>
      </c>
      <c r="F758" s="130">
        <f aca="true" t="shared" si="93" ref="F758:I760">F759</f>
        <v>330.7</v>
      </c>
      <c r="G758" s="130">
        <f t="shared" si="93"/>
        <v>0</v>
      </c>
      <c r="H758" s="130">
        <f t="shared" si="93"/>
        <v>346.9</v>
      </c>
      <c r="I758" s="130">
        <f t="shared" si="93"/>
        <v>346.9</v>
      </c>
      <c r="J758" s="166">
        <f t="shared" si="89"/>
        <v>1</v>
      </c>
      <c r="K758" s="223"/>
      <c r="L758" s="224"/>
    </row>
    <row r="759" spans="1:12" ht="18.75">
      <c r="A759" s="132"/>
      <c r="B759" s="132"/>
      <c r="C759" s="132" t="s">
        <v>122</v>
      </c>
      <c r="D759" s="132"/>
      <c r="E759" s="122" t="s">
        <v>917</v>
      </c>
      <c r="F759" s="130">
        <f t="shared" si="93"/>
        <v>330.7</v>
      </c>
      <c r="G759" s="130">
        <f t="shared" si="93"/>
        <v>0</v>
      </c>
      <c r="H759" s="130">
        <f t="shared" si="93"/>
        <v>346.9</v>
      </c>
      <c r="I759" s="130">
        <f t="shared" si="93"/>
        <v>346.9</v>
      </c>
      <c r="J759" s="166">
        <f t="shared" si="89"/>
        <v>1</v>
      </c>
      <c r="K759" s="223"/>
      <c r="L759" s="224"/>
    </row>
    <row r="760" spans="1:12" ht="18.75">
      <c r="A760" s="132"/>
      <c r="B760" s="132"/>
      <c r="C760" s="125" t="s">
        <v>1005</v>
      </c>
      <c r="D760" s="125"/>
      <c r="E760" s="124" t="s">
        <v>1006</v>
      </c>
      <c r="F760" s="115">
        <f t="shared" si="93"/>
        <v>330.7</v>
      </c>
      <c r="G760" s="115">
        <f t="shared" si="93"/>
        <v>0</v>
      </c>
      <c r="H760" s="115">
        <f t="shared" si="93"/>
        <v>346.9</v>
      </c>
      <c r="I760" s="115">
        <f t="shared" si="93"/>
        <v>346.9</v>
      </c>
      <c r="J760" s="167">
        <f t="shared" si="89"/>
        <v>1</v>
      </c>
      <c r="K760" s="223"/>
      <c r="L760" s="224"/>
    </row>
    <row r="761" spans="1:12" ht="18.75">
      <c r="A761" s="125"/>
      <c r="B761" s="125"/>
      <c r="C761" s="125"/>
      <c r="D761" s="125" t="s">
        <v>21</v>
      </c>
      <c r="E761" s="124" t="s">
        <v>22</v>
      </c>
      <c r="F761" s="115">
        <v>330.7</v>
      </c>
      <c r="G761" s="115"/>
      <c r="H761" s="115">
        <v>346.9</v>
      </c>
      <c r="I761" s="115">
        <v>346.9</v>
      </c>
      <c r="J761" s="167">
        <f t="shared" si="89"/>
        <v>1</v>
      </c>
      <c r="K761" s="223"/>
      <c r="L761" s="224"/>
    </row>
    <row r="762" spans="1:12" ht="18.75">
      <c r="A762" s="125"/>
      <c r="B762" s="116" t="s">
        <v>397</v>
      </c>
      <c r="C762" s="117"/>
      <c r="D762" s="117"/>
      <c r="E762" s="118" t="s">
        <v>816</v>
      </c>
      <c r="F762" s="130">
        <f>F763</f>
        <v>21533.1</v>
      </c>
      <c r="G762" s="130">
        <f aca="true" t="shared" si="94" ref="G762:I764">G763</f>
        <v>0</v>
      </c>
      <c r="H762" s="130">
        <f t="shared" si="94"/>
        <v>21533.1</v>
      </c>
      <c r="I762" s="130">
        <f t="shared" si="94"/>
        <v>21522.899999999998</v>
      </c>
      <c r="J762" s="166">
        <f t="shared" si="89"/>
        <v>0.999526310656617</v>
      </c>
      <c r="K762" s="223"/>
      <c r="L762" s="224"/>
    </row>
    <row r="763" spans="1:12" ht="18.75">
      <c r="A763" s="132"/>
      <c r="B763" s="132"/>
      <c r="C763" s="132" t="s">
        <v>16</v>
      </c>
      <c r="D763" s="132" t="s">
        <v>766</v>
      </c>
      <c r="E763" s="122" t="s">
        <v>17</v>
      </c>
      <c r="F763" s="130">
        <f>F764</f>
        <v>21533.1</v>
      </c>
      <c r="G763" s="130">
        <f t="shared" si="94"/>
        <v>0</v>
      </c>
      <c r="H763" s="130">
        <f t="shared" si="94"/>
        <v>21533.1</v>
      </c>
      <c r="I763" s="130">
        <f t="shared" si="94"/>
        <v>21522.899999999998</v>
      </c>
      <c r="J763" s="166">
        <f t="shared" si="89"/>
        <v>0.999526310656617</v>
      </c>
      <c r="K763" s="223"/>
      <c r="L763" s="224"/>
    </row>
    <row r="764" spans="1:12" ht="37.5">
      <c r="A764" s="132"/>
      <c r="B764" s="132"/>
      <c r="C764" s="132" t="s">
        <v>39</v>
      </c>
      <c r="D764" s="132" t="s">
        <v>766</v>
      </c>
      <c r="E764" s="122" t="s">
        <v>501</v>
      </c>
      <c r="F764" s="130">
        <f>F765</f>
        <v>21533.1</v>
      </c>
      <c r="G764" s="130">
        <f t="shared" si="94"/>
        <v>0</v>
      </c>
      <c r="H764" s="130">
        <f t="shared" si="94"/>
        <v>21533.1</v>
      </c>
      <c r="I764" s="130">
        <f t="shared" si="94"/>
        <v>21522.899999999998</v>
      </c>
      <c r="J764" s="166">
        <f aca="true" t="shared" si="95" ref="J764:J795">I764/H764</f>
        <v>0.999526310656617</v>
      </c>
      <c r="K764" s="223"/>
      <c r="L764" s="224"/>
    </row>
    <row r="765" spans="1:12" ht="18.75">
      <c r="A765" s="132"/>
      <c r="B765" s="132"/>
      <c r="C765" s="132" t="s">
        <v>56</v>
      </c>
      <c r="D765" s="132"/>
      <c r="E765" s="122" t="s">
        <v>57</v>
      </c>
      <c r="F765" s="130">
        <f>F766+F768</f>
        <v>21533.1</v>
      </c>
      <c r="G765" s="130">
        <f>G766+G768</f>
        <v>0</v>
      </c>
      <c r="H765" s="130">
        <f>H766+H768</f>
        <v>21533.1</v>
      </c>
      <c r="I765" s="130">
        <f>I766+I768</f>
        <v>21522.899999999998</v>
      </c>
      <c r="J765" s="166">
        <f t="shared" si="95"/>
        <v>0.999526310656617</v>
      </c>
      <c r="K765" s="223"/>
      <c r="L765" s="224"/>
    </row>
    <row r="766" spans="1:12" ht="18.75">
      <c r="A766" s="132"/>
      <c r="B766" s="132"/>
      <c r="C766" s="128" t="s">
        <v>59</v>
      </c>
      <c r="D766" s="125" t="s">
        <v>766</v>
      </c>
      <c r="E766" s="123" t="s">
        <v>60</v>
      </c>
      <c r="F766" s="115">
        <f>F767</f>
        <v>5184.4</v>
      </c>
      <c r="G766" s="115">
        <f>G767</f>
        <v>0</v>
      </c>
      <c r="H766" s="115">
        <f>H767</f>
        <v>5184.4</v>
      </c>
      <c r="I766" s="115">
        <f>I767</f>
        <v>5184.3</v>
      </c>
      <c r="J766" s="167">
        <f t="shared" si="95"/>
        <v>0.9999807113648639</v>
      </c>
      <c r="K766" s="223"/>
      <c r="L766" s="224"/>
    </row>
    <row r="767" spans="1:12" ht="18.75">
      <c r="A767" s="125"/>
      <c r="B767" s="125"/>
      <c r="C767" s="128"/>
      <c r="D767" s="125" t="s">
        <v>21</v>
      </c>
      <c r="E767" s="124" t="s">
        <v>22</v>
      </c>
      <c r="F767" s="115">
        <v>5184.4</v>
      </c>
      <c r="G767" s="115"/>
      <c r="H767" s="115">
        <f>SUM(F767:G767)</f>
        <v>5184.4</v>
      </c>
      <c r="I767" s="115">
        <v>5184.3</v>
      </c>
      <c r="J767" s="167">
        <f t="shared" si="95"/>
        <v>0.9999807113648639</v>
      </c>
      <c r="K767" s="223"/>
      <c r="L767" s="224"/>
    </row>
    <row r="768" spans="1:12" ht="18.75">
      <c r="A768" s="125"/>
      <c r="B768" s="125"/>
      <c r="C768" s="126" t="s">
        <v>1016</v>
      </c>
      <c r="D768" s="126"/>
      <c r="E768" s="144" t="s">
        <v>61</v>
      </c>
      <c r="F768" s="131">
        <f>F769+F770+F771+F772</f>
        <v>16348.7</v>
      </c>
      <c r="G768" s="131">
        <f>G769+G770+G771+G772</f>
        <v>0</v>
      </c>
      <c r="H768" s="131">
        <f>H769+H770+H771+H772</f>
        <v>16348.7</v>
      </c>
      <c r="I768" s="131">
        <f>I769+I770+I771+I772</f>
        <v>16338.599999999999</v>
      </c>
      <c r="J768" s="169">
        <f t="shared" si="95"/>
        <v>0.9993822138763325</v>
      </c>
      <c r="K768" s="223"/>
      <c r="L768" s="224"/>
    </row>
    <row r="769" spans="1:12" ht="18.75">
      <c r="A769" s="125"/>
      <c r="B769" s="125"/>
      <c r="C769" s="126"/>
      <c r="D769" s="119" t="s">
        <v>27</v>
      </c>
      <c r="E769" s="120" t="s">
        <v>28</v>
      </c>
      <c r="F769" s="131">
        <v>2463.3</v>
      </c>
      <c r="G769" s="131"/>
      <c r="H769" s="131">
        <v>3675.3</v>
      </c>
      <c r="I769" s="131">
        <v>3675.3</v>
      </c>
      <c r="J769" s="169">
        <f t="shared" si="95"/>
        <v>1</v>
      </c>
      <c r="K769" s="223"/>
      <c r="L769" s="224"/>
    </row>
    <row r="770" spans="1:12" ht="18.75">
      <c r="A770" s="125"/>
      <c r="B770" s="125"/>
      <c r="C770" s="126"/>
      <c r="D770" s="119" t="s">
        <v>32</v>
      </c>
      <c r="E770" s="120" t="s">
        <v>33</v>
      </c>
      <c r="F770" s="131">
        <v>759.3</v>
      </c>
      <c r="G770" s="131"/>
      <c r="H770" s="131">
        <v>381.2</v>
      </c>
      <c r="I770" s="131">
        <v>381.2</v>
      </c>
      <c r="J770" s="169">
        <f t="shared" si="95"/>
        <v>1</v>
      </c>
      <c r="K770" s="223"/>
      <c r="L770" s="224"/>
    </row>
    <row r="771" spans="1:12" ht="18.75">
      <c r="A771" s="125"/>
      <c r="B771" s="125"/>
      <c r="C771" s="126"/>
      <c r="D771" s="119" t="s">
        <v>21</v>
      </c>
      <c r="E771" s="120" t="s">
        <v>22</v>
      </c>
      <c r="F771" s="131">
        <f>4652.8+320.6+465.4</f>
        <v>5438.8</v>
      </c>
      <c r="G771" s="131"/>
      <c r="H771" s="131">
        <v>7000.4</v>
      </c>
      <c r="I771" s="131">
        <v>7000.4</v>
      </c>
      <c r="J771" s="169">
        <f t="shared" si="95"/>
        <v>1</v>
      </c>
      <c r="K771" s="223"/>
      <c r="L771" s="224"/>
    </row>
    <row r="772" spans="1:12" ht="18.75">
      <c r="A772" s="125"/>
      <c r="B772" s="125"/>
      <c r="C772" s="126"/>
      <c r="D772" s="119" t="s">
        <v>62</v>
      </c>
      <c r="E772" s="120" t="s">
        <v>63</v>
      </c>
      <c r="F772" s="131">
        <v>7687.3</v>
      </c>
      <c r="G772" s="131"/>
      <c r="H772" s="131">
        <v>5291.8</v>
      </c>
      <c r="I772" s="131">
        <v>5281.7</v>
      </c>
      <c r="J772" s="169">
        <f t="shared" si="95"/>
        <v>0.9980913866737215</v>
      </c>
      <c r="K772" s="223"/>
      <c r="L772" s="224"/>
    </row>
    <row r="773" spans="1:12" ht="18.75">
      <c r="A773" s="125"/>
      <c r="B773" s="116" t="s">
        <v>378</v>
      </c>
      <c r="C773" s="117"/>
      <c r="D773" s="117"/>
      <c r="E773" s="118" t="s">
        <v>379</v>
      </c>
      <c r="F773" s="130">
        <f>F774+F798</f>
        <v>57619.99999999999</v>
      </c>
      <c r="G773" s="130">
        <f>G774+G798</f>
        <v>0</v>
      </c>
      <c r="H773" s="130">
        <f>H774+H798</f>
        <v>58730.09999999999</v>
      </c>
      <c r="I773" s="130">
        <f>I774+I798</f>
        <v>58587.9</v>
      </c>
      <c r="J773" s="166">
        <f t="shared" si="95"/>
        <v>0.9975787543355112</v>
      </c>
      <c r="K773" s="223"/>
      <c r="L773" s="224"/>
    </row>
    <row r="774" spans="1:12" ht="18.75">
      <c r="A774" s="132"/>
      <c r="B774" s="132"/>
      <c r="C774" s="132" t="s">
        <v>16</v>
      </c>
      <c r="D774" s="132" t="s">
        <v>766</v>
      </c>
      <c r="E774" s="122" t="s">
        <v>17</v>
      </c>
      <c r="F774" s="130">
        <f>F775+F787</f>
        <v>57449.99999999999</v>
      </c>
      <c r="G774" s="130">
        <f>G775+G787</f>
        <v>0</v>
      </c>
      <c r="H774" s="130">
        <f>H775+H787</f>
        <v>58167.49999999999</v>
      </c>
      <c r="I774" s="130">
        <f>I775+I787</f>
        <v>58025.3</v>
      </c>
      <c r="J774" s="166">
        <f t="shared" si="95"/>
        <v>0.9975553358834403</v>
      </c>
      <c r="K774" s="223"/>
      <c r="L774" s="224"/>
    </row>
    <row r="775" spans="1:12" ht="18.75">
      <c r="A775" s="132"/>
      <c r="B775" s="132"/>
      <c r="C775" s="132" t="s">
        <v>18</v>
      </c>
      <c r="D775" s="132" t="s">
        <v>766</v>
      </c>
      <c r="E775" s="122" t="s">
        <v>19</v>
      </c>
      <c r="F775" s="130">
        <f>F776</f>
        <v>485</v>
      </c>
      <c r="G775" s="130">
        <f>G776</f>
        <v>0</v>
      </c>
      <c r="H775" s="130">
        <f>H776</f>
        <v>397.7</v>
      </c>
      <c r="I775" s="130">
        <f>I776</f>
        <v>318.4</v>
      </c>
      <c r="J775" s="166">
        <f t="shared" si="95"/>
        <v>0.8006034699522253</v>
      </c>
      <c r="K775" s="223"/>
      <c r="L775" s="224"/>
    </row>
    <row r="776" spans="1:12" ht="40.5" customHeight="1">
      <c r="A776" s="132"/>
      <c r="B776" s="132"/>
      <c r="C776" s="132" t="s">
        <v>29</v>
      </c>
      <c r="D776" s="132"/>
      <c r="E776" s="122" t="s">
        <v>1002</v>
      </c>
      <c r="F776" s="130">
        <f>F777+F780+F784</f>
        <v>485</v>
      </c>
      <c r="G776" s="130">
        <f>G777+G780+G784</f>
        <v>0</v>
      </c>
      <c r="H776" s="130">
        <f>H777+H780+H784</f>
        <v>397.7</v>
      </c>
      <c r="I776" s="130">
        <f>I777+I780+I784</f>
        <v>318.4</v>
      </c>
      <c r="J776" s="166">
        <f t="shared" si="95"/>
        <v>0.8006034699522253</v>
      </c>
      <c r="K776" s="223"/>
      <c r="L776" s="224"/>
    </row>
    <row r="777" spans="1:12" ht="18.75">
      <c r="A777" s="132"/>
      <c r="B777" s="132"/>
      <c r="C777" s="125" t="s">
        <v>30</v>
      </c>
      <c r="D777" s="125" t="s">
        <v>766</v>
      </c>
      <c r="E777" s="123" t="s">
        <v>31</v>
      </c>
      <c r="F777" s="115">
        <f>F778+F779</f>
        <v>260</v>
      </c>
      <c r="G777" s="115">
        <f>G778+G779</f>
        <v>0</v>
      </c>
      <c r="H777" s="115">
        <f>H778+H779</f>
        <v>158.7</v>
      </c>
      <c r="I777" s="115">
        <f>I778+I779</f>
        <v>92</v>
      </c>
      <c r="J777" s="167">
        <f t="shared" si="95"/>
        <v>0.5797101449275363</v>
      </c>
      <c r="K777" s="223"/>
      <c r="L777" s="224"/>
    </row>
    <row r="778" spans="1:12" ht="18.75">
      <c r="A778" s="125"/>
      <c r="B778" s="125"/>
      <c r="C778" s="125"/>
      <c r="D778" s="125" t="s">
        <v>27</v>
      </c>
      <c r="E778" s="124" t="s">
        <v>28</v>
      </c>
      <c r="F778" s="115">
        <v>200</v>
      </c>
      <c r="G778" s="115"/>
      <c r="H778" s="115">
        <v>98.7</v>
      </c>
      <c r="I778" s="115">
        <v>68</v>
      </c>
      <c r="J778" s="167">
        <f t="shared" si="95"/>
        <v>0.6889564336372846</v>
      </c>
      <c r="K778" s="223"/>
      <c r="L778" s="224"/>
    </row>
    <row r="779" spans="1:12" ht="18.75">
      <c r="A779" s="125"/>
      <c r="B779" s="125"/>
      <c r="C779" s="125"/>
      <c r="D779" s="125" t="s">
        <v>32</v>
      </c>
      <c r="E779" s="124" t="s">
        <v>33</v>
      </c>
      <c r="F779" s="115">
        <v>60</v>
      </c>
      <c r="G779" s="115"/>
      <c r="H779" s="115">
        <f>SUM(F779:G779)</f>
        <v>60</v>
      </c>
      <c r="I779" s="115">
        <v>24</v>
      </c>
      <c r="J779" s="167">
        <f t="shared" si="95"/>
        <v>0.4</v>
      </c>
      <c r="K779" s="223"/>
      <c r="L779" s="224"/>
    </row>
    <row r="780" spans="1:12" ht="18.75">
      <c r="A780" s="132"/>
      <c r="B780" s="132"/>
      <c r="C780" s="125" t="s">
        <v>34</v>
      </c>
      <c r="D780" s="125" t="s">
        <v>766</v>
      </c>
      <c r="E780" s="123" t="s">
        <v>35</v>
      </c>
      <c r="F780" s="115">
        <f>F782</f>
        <v>170</v>
      </c>
      <c r="G780" s="115">
        <f>G782</f>
        <v>0</v>
      </c>
      <c r="H780" s="115">
        <f>H782+H783+H781</f>
        <v>164</v>
      </c>
      <c r="I780" s="115">
        <f>I782+I783+I781</f>
        <v>163.5</v>
      </c>
      <c r="J780" s="167">
        <f t="shared" si="95"/>
        <v>0.9969512195121951</v>
      </c>
      <c r="K780" s="223"/>
      <c r="L780" s="224"/>
    </row>
    <row r="781" spans="1:12" ht="37.5">
      <c r="A781" s="132"/>
      <c r="B781" s="132"/>
      <c r="C781" s="125"/>
      <c r="D781" s="125" t="s">
        <v>46</v>
      </c>
      <c r="E781" s="124" t="s">
        <v>47</v>
      </c>
      <c r="F781" s="115"/>
      <c r="G781" s="115"/>
      <c r="H781" s="115">
        <v>1.9</v>
      </c>
      <c r="I781" s="115">
        <v>1.9</v>
      </c>
      <c r="J781" s="167">
        <f t="shared" si="95"/>
        <v>1</v>
      </c>
      <c r="K781" s="223"/>
      <c r="L781" s="224"/>
    </row>
    <row r="782" spans="1:12" ht="18.75">
      <c r="A782" s="125"/>
      <c r="B782" s="125"/>
      <c r="C782" s="125"/>
      <c r="D782" s="125" t="s">
        <v>27</v>
      </c>
      <c r="E782" s="124" t="s">
        <v>28</v>
      </c>
      <c r="F782" s="115">
        <v>170</v>
      </c>
      <c r="G782" s="115"/>
      <c r="H782" s="115">
        <v>0.5</v>
      </c>
      <c r="I782" s="115">
        <v>0</v>
      </c>
      <c r="J782" s="167">
        <f t="shared" si="95"/>
        <v>0</v>
      </c>
      <c r="K782" s="223"/>
      <c r="L782" s="224"/>
    </row>
    <row r="783" spans="1:12" ht="18.75">
      <c r="A783" s="125"/>
      <c r="B783" s="125"/>
      <c r="C783" s="125"/>
      <c r="D783" s="125" t="s">
        <v>21</v>
      </c>
      <c r="E783" s="124" t="s">
        <v>22</v>
      </c>
      <c r="F783" s="115"/>
      <c r="G783" s="115"/>
      <c r="H783" s="115">
        <v>161.6</v>
      </c>
      <c r="I783" s="115">
        <v>161.6</v>
      </c>
      <c r="J783" s="167">
        <f t="shared" si="95"/>
        <v>1</v>
      </c>
      <c r="K783" s="223"/>
      <c r="L783" s="224"/>
    </row>
    <row r="784" spans="1:12" ht="18.75">
      <c r="A784" s="132"/>
      <c r="B784" s="132"/>
      <c r="C784" s="125" t="s">
        <v>37</v>
      </c>
      <c r="D784" s="125" t="s">
        <v>766</v>
      </c>
      <c r="E784" s="123" t="s">
        <v>38</v>
      </c>
      <c r="F784" s="115">
        <f>F785+F786</f>
        <v>55</v>
      </c>
      <c r="G784" s="115">
        <f>G785+G786</f>
        <v>0</v>
      </c>
      <c r="H784" s="115">
        <f>H785+H786</f>
        <v>75</v>
      </c>
      <c r="I784" s="115">
        <f>I785+I786</f>
        <v>62.9</v>
      </c>
      <c r="J784" s="167">
        <f t="shared" si="95"/>
        <v>0.8386666666666667</v>
      </c>
      <c r="K784" s="223"/>
      <c r="L784" s="224"/>
    </row>
    <row r="785" spans="1:12" ht="18.75">
      <c r="A785" s="125"/>
      <c r="B785" s="125"/>
      <c r="C785" s="125"/>
      <c r="D785" s="125" t="s">
        <v>27</v>
      </c>
      <c r="E785" s="124" t="s">
        <v>28</v>
      </c>
      <c r="F785" s="115">
        <v>15</v>
      </c>
      <c r="G785" s="115"/>
      <c r="H785" s="115">
        <v>15</v>
      </c>
      <c r="I785" s="115">
        <v>5.9</v>
      </c>
      <c r="J785" s="167">
        <f t="shared" si="95"/>
        <v>0.39333333333333337</v>
      </c>
      <c r="K785" s="223"/>
      <c r="L785" s="224"/>
    </row>
    <row r="786" spans="1:12" ht="18.75">
      <c r="A786" s="125"/>
      <c r="B786" s="125"/>
      <c r="C786" s="125"/>
      <c r="D786" s="125" t="s">
        <v>32</v>
      </c>
      <c r="E786" s="124" t="s">
        <v>33</v>
      </c>
      <c r="F786" s="115">
        <v>40</v>
      </c>
      <c r="G786" s="115"/>
      <c r="H786" s="115">
        <v>60</v>
      </c>
      <c r="I786" s="115">
        <v>57</v>
      </c>
      <c r="J786" s="167">
        <f t="shared" si="95"/>
        <v>0.95</v>
      </c>
      <c r="K786" s="223"/>
      <c r="L786" s="224"/>
    </row>
    <row r="787" spans="1:12" ht="37.5">
      <c r="A787" s="132"/>
      <c r="B787" s="132"/>
      <c r="C787" s="132" t="s">
        <v>39</v>
      </c>
      <c r="D787" s="132" t="s">
        <v>766</v>
      </c>
      <c r="E787" s="122" t="s">
        <v>501</v>
      </c>
      <c r="F787" s="130">
        <f>F788+F794</f>
        <v>56964.99999999999</v>
      </c>
      <c r="G787" s="130">
        <f>G788+G794</f>
        <v>0</v>
      </c>
      <c r="H787" s="130">
        <f>H788+H794</f>
        <v>57769.799999999996</v>
      </c>
      <c r="I787" s="130">
        <f>I788+I794</f>
        <v>57706.9</v>
      </c>
      <c r="J787" s="166">
        <f t="shared" si="95"/>
        <v>0.9989111958151146</v>
      </c>
      <c r="K787" s="223"/>
      <c r="L787" s="224"/>
    </row>
    <row r="788" spans="1:12" ht="37.5">
      <c r="A788" s="132"/>
      <c r="B788" s="132"/>
      <c r="C788" s="132" t="s">
        <v>41</v>
      </c>
      <c r="D788" s="132"/>
      <c r="E788" s="122" t="s">
        <v>42</v>
      </c>
      <c r="F788" s="130">
        <f>F789+F792</f>
        <v>56153.899999999994</v>
      </c>
      <c r="G788" s="130">
        <f>G789+G792</f>
        <v>0</v>
      </c>
      <c r="H788" s="130">
        <f>H789+H792</f>
        <v>56952.299999999996</v>
      </c>
      <c r="I788" s="130">
        <f>I789+I792</f>
        <v>56951.5</v>
      </c>
      <c r="J788" s="166">
        <f t="shared" si="95"/>
        <v>0.9999859531572913</v>
      </c>
      <c r="K788" s="223"/>
      <c r="L788" s="224"/>
    </row>
    <row r="789" spans="1:12" ht="18.75">
      <c r="A789" s="132"/>
      <c r="B789" s="132"/>
      <c r="C789" s="125" t="s">
        <v>44</v>
      </c>
      <c r="D789" s="125" t="s">
        <v>766</v>
      </c>
      <c r="E789" s="123" t="s">
        <v>45</v>
      </c>
      <c r="F789" s="115">
        <f>F790+F791</f>
        <v>7841.299999999999</v>
      </c>
      <c r="G789" s="115">
        <f>G790+G791</f>
        <v>0</v>
      </c>
      <c r="H789" s="115">
        <f>H790+H791</f>
        <v>7885.7</v>
      </c>
      <c r="I789" s="115">
        <f>I790+I791</f>
        <v>7884.9</v>
      </c>
      <c r="J789" s="167">
        <f t="shared" si="95"/>
        <v>0.9998985505408524</v>
      </c>
      <c r="K789" s="223"/>
      <c r="L789" s="224"/>
    </row>
    <row r="790" spans="1:12" ht="37.5">
      <c r="A790" s="125"/>
      <c r="B790" s="125"/>
      <c r="C790" s="125"/>
      <c r="D790" s="125" t="s">
        <v>46</v>
      </c>
      <c r="E790" s="124" t="s">
        <v>47</v>
      </c>
      <c r="F790" s="115">
        <f>5915.7+32.2+1768.5</f>
        <v>7716.4</v>
      </c>
      <c r="G790" s="115"/>
      <c r="H790" s="115">
        <v>7771.5</v>
      </c>
      <c r="I790" s="115">
        <v>7771.5</v>
      </c>
      <c r="J790" s="167">
        <f t="shared" si="95"/>
        <v>1</v>
      </c>
      <c r="K790" s="223"/>
      <c r="L790" s="224"/>
    </row>
    <row r="791" spans="1:12" ht="18.75">
      <c r="A791" s="125"/>
      <c r="B791" s="125"/>
      <c r="C791" s="125"/>
      <c r="D791" s="125" t="s">
        <v>27</v>
      </c>
      <c r="E791" s="124" t="s">
        <v>28</v>
      </c>
      <c r="F791" s="115">
        <v>124.9</v>
      </c>
      <c r="G791" s="115"/>
      <c r="H791" s="115">
        <v>114.2</v>
      </c>
      <c r="I791" s="115">
        <v>113.4</v>
      </c>
      <c r="J791" s="167">
        <f t="shared" si="95"/>
        <v>0.9929947460595446</v>
      </c>
      <c r="K791" s="223"/>
      <c r="L791" s="224"/>
    </row>
    <row r="792" spans="1:12" ht="18.75">
      <c r="A792" s="132"/>
      <c r="B792" s="132"/>
      <c r="C792" s="125" t="s">
        <v>53</v>
      </c>
      <c r="D792" s="125" t="s">
        <v>766</v>
      </c>
      <c r="E792" s="123" t="s">
        <v>54</v>
      </c>
      <c r="F792" s="115">
        <f>F793</f>
        <v>48312.6</v>
      </c>
      <c r="G792" s="115">
        <f>G793</f>
        <v>0</v>
      </c>
      <c r="H792" s="115">
        <f>H793</f>
        <v>49066.6</v>
      </c>
      <c r="I792" s="115">
        <f>I793</f>
        <v>49066.6</v>
      </c>
      <c r="J792" s="167">
        <f t="shared" si="95"/>
        <v>1</v>
      </c>
      <c r="K792" s="223"/>
      <c r="L792" s="224"/>
    </row>
    <row r="793" spans="1:12" ht="18.75">
      <c r="A793" s="125"/>
      <c r="B793" s="125"/>
      <c r="C793" s="125"/>
      <c r="D793" s="125" t="s">
        <v>21</v>
      </c>
      <c r="E793" s="124" t="s">
        <v>22</v>
      </c>
      <c r="F793" s="115">
        <v>48312.6</v>
      </c>
      <c r="G793" s="115"/>
      <c r="H793" s="115">
        <v>49066.6</v>
      </c>
      <c r="I793" s="115">
        <v>49066.6</v>
      </c>
      <c r="J793" s="167">
        <f t="shared" si="95"/>
        <v>1</v>
      </c>
      <c r="K793" s="223"/>
      <c r="L793" s="224"/>
    </row>
    <row r="794" spans="1:12" ht="18.75">
      <c r="A794" s="125"/>
      <c r="B794" s="125"/>
      <c r="C794" s="117" t="s">
        <v>56</v>
      </c>
      <c r="D794" s="136"/>
      <c r="E794" s="135" t="s">
        <v>57</v>
      </c>
      <c r="F794" s="130">
        <f>F795</f>
        <v>811.0999999999999</v>
      </c>
      <c r="G794" s="130">
        <f>G795</f>
        <v>0</v>
      </c>
      <c r="H794" s="130">
        <f>H795</f>
        <v>817.5</v>
      </c>
      <c r="I794" s="130">
        <f>I795</f>
        <v>755.4</v>
      </c>
      <c r="J794" s="166">
        <f t="shared" si="95"/>
        <v>0.9240366972477064</v>
      </c>
      <c r="K794" s="223"/>
      <c r="L794" s="224"/>
    </row>
    <row r="795" spans="1:12" ht="24.75" customHeight="1">
      <c r="A795" s="125"/>
      <c r="B795" s="125"/>
      <c r="C795" s="126" t="s">
        <v>424</v>
      </c>
      <c r="D795" s="126"/>
      <c r="E795" s="143" t="s">
        <v>1004</v>
      </c>
      <c r="F795" s="131">
        <f>F796+F797</f>
        <v>811.0999999999999</v>
      </c>
      <c r="G795" s="131">
        <f>G796+G797</f>
        <v>0</v>
      </c>
      <c r="H795" s="131">
        <f>H796+H797</f>
        <v>817.5</v>
      </c>
      <c r="I795" s="131">
        <f>I796+I797</f>
        <v>755.4</v>
      </c>
      <c r="J795" s="169">
        <f t="shared" si="95"/>
        <v>0.9240366972477064</v>
      </c>
      <c r="K795" s="223"/>
      <c r="L795" s="224"/>
    </row>
    <row r="796" spans="1:12" ht="18.75">
      <c r="A796" s="125"/>
      <c r="B796" s="125"/>
      <c r="C796" s="119"/>
      <c r="D796" s="119" t="s">
        <v>27</v>
      </c>
      <c r="E796" s="120" t="s">
        <v>28</v>
      </c>
      <c r="F796" s="131">
        <v>257.7</v>
      </c>
      <c r="G796" s="131"/>
      <c r="H796" s="131">
        <v>257.7</v>
      </c>
      <c r="I796" s="131">
        <v>195.6</v>
      </c>
      <c r="J796" s="169">
        <f aca="true" t="shared" si="96" ref="J796:J827">I796/H796</f>
        <v>0.7590221187427241</v>
      </c>
      <c r="K796" s="223"/>
      <c r="L796" s="224"/>
    </row>
    <row r="797" spans="1:12" ht="18.75">
      <c r="A797" s="125"/>
      <c r="B797" s="125"/>
      <c r="C797" s="126"/>
      <c r="D797" s="119" t="s">
        <v>21</v>
      </c>
      <c r="E797" s="120" t="s">
        <v>22</v>
      </c>
      <c r="F797" s="131">
        <v>553.4</v>
      </c>
      <c r="G797" s="131"/>
      <c r="H797" s="131">
        <f>553.4+6.4</f>
        <v>559.8</v>
      </c>
      <c r="I797" s="131">
        <v>559.8</v>
      </c>
      <c r="J797" s="169">
        <f t="shared" si="96"/>
        <v>1</v>
      </c>
      <c r="K797" s="223"/>
      <c r="L797" s="224"/>
    </row>
    <row r="798" spans="1:12" ht="40.5" customHeight="1">
      <c r="A798" s="132"/>
      <c r="B798" s="132"/>
      <c r="C798" s="132" t="s">
        <v>102</v>
      </c>
      <c r="D798" s="132" t="s">
        <v>766</v>
      </c>
      <c r="E798" s="122" t="s">
        <v>770</v>
      </c>
      <c r="F798" s="130">
        <f>F799</f>
        <v>170</v>
      </c>
      <c r="G798" s="130">
        <f>G799</f>
        <v>0</v>
      </c>
      <c r="H798" s="130">
        <f>H799</f>
        <v>562.6</v>
      </c>
      <c r="I798" s="130">
        <f>I799</f>
        <v>562.6</v>
      </c>
      <c r="J798" s="166">
        <f t="shared" si="96"/>
        <v>1</v>
      </c>
      <c r="K798" s="223"/>
      <c r="L798" s="224"/>
    </row>
    <row r="799" spans="1:12" ht="18.75">
      <c r="A799" s="132"/>
      <c r="B799" s="132"/>
      <c r="C799" s="132" t="s">
        <v>103</v>
      </c>
      <c r="D799" s="132" t="s">
        <v>766</v>
      </c>
      <c r="E799" s="122" t="s">
        <v>353</v>
      </c>
      <c r="F799" s="130">
        <f>F800+F804+F807</f>
        <v>170</v>
      </c>
      <c r="G799" s="130">
        <f>G800+G804+G807</f>
        <v>0</v>
      </c>
      <c r="H799" s="130">
        <f>H800+H804+H807</f>
        <v>562.6</v>
      </c>
      <c r="I799" s="130">
        <f>I800+I804+I807</f>
        <v>562.6</v>
      </c>
      <c r="J799" s="166">
        <f t="shared" si="96"/>
        <v>1</v>
      </c>
      <c r="K799" s="223"/>
      <c r="L799" s="224"/>
    </row>
    <row r="800" spans="1:12" ht="18.75">
      <c r="A800" s="132"/>
      <c r="B800" s="132"/>
      <c r="C800" s="132" t="s">
        <v>104</v>
      </c>
      <c r="D800" s="132"/>
      <c r="E800" s="122" t="s">
        <v>105</v>
      </c>
      <c r="F800" s="130">
        <f aca="true" t="shared" si="97" ref="F800:I801">F801</f>
        <v>50</v>
      </c>
      <c r="G800" s="130">
        <f t="shared" si="97"/>
        <v>0</v>
      </c>
      <c r="H800" s="130">
        <f t="shared" si="97"/>
        <v>442.6</v>
      </c>
      <c r="I800" s="130">
        <f t="shared" si="97"/>
        <v>442.6</v>
      </c>
      <c r="J800" s="166">
        <f t="shared" si="96"/>
        <v>1</v>
      </c>
      <c r="K800" s="223"/>
      <c r="L800" s="224"/>
    </row>
    <row r="801" spans="1:12" ht="18.75">
      <c r="A801" s="132"/>
      <c r="B801" s="132"/>
      <c r="C801" s="125" t="s">
        <v>107</v>
      </c>
      <c r="D801" s="125" t="s">
        <v>766</v>
      </c>
      <c r="E801" s="123" t="s">
        <v>428</v>
      </c>
      <c r="F801" s="115">
        <f t="shared" si="97"/>
        <v>50</v>
      </c>
      <c r="G801" s="115">
        <f t="shared" si="97"/>
        <v>0</v>
      </c>
      <c r="H801" s="115">
        <f>H802+H803</f>
        <v>442.6</v>
      </c>
      <c r="I801" s="115">
        <f>I802+I803</f>
        <v>442.6</v>
      </c>
      <c r="J801" s="167">
        <f t="shared" si="96"/>
        <v>1</v>
      </c>
      <c r="K801" s="223"/>
      <c r="L801" s="224"/>
    </row>
    <row r="802" spans="1:12" ht="18.75">
      <c r="A802" s="125"/>
      <c r="B802" s="125"/>
      <c r="C802" s="125"/>
      <c r="D802" s="125" t="s">
        <v>27</v>
      </c>
      <c r="E802" s="124" t="s">
        <v>28</v>
      </c>
      <c r="F802" s="115">
        <v>50</v>
      </c>
      <c r="G802" s="115"/>
      <c r="H802" s="115">
        <v>347.6</v>
      </c>
      <c r="I802" s="115">
        <v>347.6</v>
      </c>
      <c r="J802" s="167">
        <f t="shared" si="96"/>
        <v>1</v>
      </c>
      <c r="K802" s="223"/>
      <c r="L802" s="224"/>
    </row>
    <row r="803" spans="1:12" ht="18.75">
      <c r="A803" s="125"/>
      <c r="B803" s="125"/>
      <c r="C803" s="125"/>
      <c r="D803" s="125" t="s">
        <v>21</v>
      </c>
      <c r="E803" s="124" t="s">
        <v>22</v>
      </c>
      <c r="F803" s="115"/>
      <c r="G803" s="115"/>
      <c r="H803" s="115">
        <v>95</v>
      </c>
      <c r="I803" s="115">
        <v>95</v>
      </c>
      <c r="J803" s="167">
        <f t="shared" si="96"/>
        <v>1</v>
      </c>
      <c r="K803" s="223"/>
      <c r="L803" s="224"/>
    </row>
    <row r="804" spans="1:12" ht="18.75">
      <c r="A804" s="132"/>
      <c r="B804" s="132"/>
      <c r="C804" s="132" t="s">
        <v>109</v>
      </c>
      <c r="D804" s="125"/>
      <c r="E804" s="122" t="s">
        <v>110</v>
      </c>
      <c r="F804" s="130">
        <f aca="true" t="shared" si="98" ref="F804:I805">F805</f>
        <v>60</v>
      </c>
      <c r="G804" s="130">
        <f t="shared" si="98"/>
        <v>0</v>
      </c>
      <c r="H804" s="130">
        <f t="shared" si="98"/>
        <v>60</v>
      </c>
      <c r="I804" s="130">
        <f t="shared" si="98"/>
        <v>60</v>
      </c>
      <c r="J804" s="166">
        <f t="shared" si="96"/>
        <v>1</v>
      </c>
      <c r="K804" s="223"/>
      <c r="L804" s="224"/>
    </row>
    <row r="805" spans="1:12" ht="18.75">
      <c r="A805" s="132"/>
      <c r="B805" s="132"/>
      <c r="C805" s="125" t="s">
        <v>111</v>
      </c>
      <c r="D805" s="125" t="s">
        <v>766</v>
      </c>
      <c r="E805" s="123" t="s">
        <v>817</v>
      </c>
      <c r="F805" s="115">
        <f t="shared" si="98"/>
        <v>60</v>
      </c>
      <c r="G805" s="115">
        <f t="shared" si="98"/>
        <v>0</v>
      </c>
      <c r="H805" s="115">
        <f t="shared" si="98"/>
        <v>60</v>
      </c>
      <c r="I805" s="115">
        <f t="shared" si="98"/>
        <v>60</v>
      </c>
      <c r="J805" s="167">
        <f t="shared" si="96"/>
        <v>1</v>
      </c>
      <c r="K805" s="223"/>
      <c r="L805" s="224"/>
    </row>
    <row r="806" spans="1:12" ht="18.75">
      <c r="A806" s="125"/>
      <c r="B806" s="125"/>
      <c r="C806" s="125"/>
      <c r="D806" s="125" t="s">
        <v>27</v>
      </c>
      <c r="E806" s="124" t="s">
        <v>28</v>
      </c>
      <c r="F806" s="115">
        <v>60</v>
      </c>
      <c r="G806" s="115"/>
      <c r="H806" s="115">
        <f>SUM(F806:G806)</f>
        <v>60</v>
      </c>
      <c r="I806" s="115">
        <v>60</v>
      </c>
      <c r="J806" s="167">
        <f t="shared" si="96"/>
        <v>1</v>
      </c>
      <c r="K806" s="223"/>
      <c r="L806" s="224"/>
    </row>
    <row r="807" spans="1:12" ht="18.75">
      <c r="A807" s="132"/>
      <c r="B807" s="132"/>
      <c r="C807" s="132" t="s">
        <v>112</v>
      </c>
      <c r="D807" s="132"/>
      <c r="E807" s="122" t="s">
        <v>113</v>
      </c>
      <c r="F807" s="130">
        <f aca="true" t="shared" si="99" ref="F807:I808">F808</f>
        <v>60</v>
      </c>
      <c r="G807" s="130">
        <f t="shared" si="99"/>
        <v>0</v>
      </c>
      <c r="H807" s="130">
        <f t="shared" si="99"/>
        <v>60</v>
      </c>
      <c r="I807" s="130">
        <f t="shared" si="99"/>
        <v>60</v>
      </c>
      <c r="J807" s="166">
        <f t="shared" si="96"/>
        <v>1</v>
      </c>
      <c r="K807" s="223"/>
      <c r="L807" s="224"/>
    </row>
    <row r="808" spans="1:12" ht="18.75">
      <c r="A808" s="132"/>
      <c r="B808" s="132"/>
      <c r="C808" s="125" t="s">
        <v>114</v>
      </c>
      <c r="D808" s="125" t="s">
        <v>766</v>
      </c>
      <c r="E808" s="123" t="s">
        <v>115</v>
      </c>
      <c r="F808" s="115">
        <f t="shared" si="99"/>
        <v>60</v>
      </c>
      <c r="G808" s="115">
        <f t="shared" si="99"/>
        <v>0</v>
      </c>
      <c r="H808" s="115">
        <f t="shared" si="99"/>
        <v>60</v>
      </c>
      <c r="I808" s="115">
        <f t="shared" si="99"/>
        <v>60</v>
      </c>
      <c r="J808" s="167">
        <f t="shared" si="96"/>
        <v>1</v>
      </c>
      <c r="K808" s="223"/>
      <c r="L808" s="224"/>
    </row>
    <row r="809" spans="1:12" ht="18.75">
      <c r="A809" s="125"/>
      <c r="B809" s="125"/>
      <c r="C809" s="125"/>
      <c r="D809" s="125" t="s">
        <v>27</v>
      </c>
      <c r="E809" s="124" t="s">
        <v>28</v>
      </c>
      <c r="F809" s="115">
        <v>60</v>
      </c>
      <c r="G809" s="115"/>
      <c r="H809" s="115">
        <f>SUM(F809:G809)</f>
        <v>60</v>
      </c>
      <c r="I809" s="115">
        <v>60</v>
      </c>
      <c r="J809" s="167">
        <f t="shared" si="96"/>
        <v>1</v>
      </c>
      <c r="K809" s="223"/>
      <c r="L809" s="224"/>
    </row>
    <row r="810" spans="1:12" ht="18.75">
      <c r="A810" s="125"/>
      <c r="B810" s="117" t="s">
        <v>384</v>
      </c>
      <c r="C810" s="117"/>
      <c r="D810" s="117"/>
      <c r="E810" s="118" t="s">
        <v>385</v>
      </c>
      <c r="F810" s="130">
        <f>F811+F831</f>
        <v>54602.899999999994</v>
      </c>
      <c r="G810" s="130">
        <f>G811+G831</f>
        <v>0</v>
      </c>
      <c r="H810" s="130">
        <f>H811+H831</f>
        <v>48085.75</v>
      </c>
      <c r="I810" s="130">
        <f>I811+I831</f>
        <v>45279.600000000006</v>
      </c>
      <c r="J810" s="166">
        <f t="shared" si="96"/>
        <v>0.9416427943829514</v>
      </c>
      <c r="K810" s="223"/>
      <c r="L810" s="224"/>
    </row>
    <row r="811" spans="1:12" ht="18.75">
      <c r="A811" s="125"/>
      <c r="B811" s="117" t="s">
        <v>388</v>
      </c>
      <c r="C811" s="117"/>
      <c r="D811" s="117"/>
      <c r="E811" s="118" t="s">
        <v>389</v>
      </c>
      <c r="F811" s="130">
        <f>F812+F824</f>
        <v>28831.1</v>
      </c>
      <c r="G811" s="130">
        <f>G812+G824</f>
        <v>0</v>
      </c>
      <c r="H811" s="130">
        <f>H812+H824</f>
        <v>28443.65</v>
      </c>
      <c r="I811" s="130">
        <f>I812+I824</f>
        <v>26343.300000000003</v>
      </c>
      <c r="J811" s="166">
        <f t="shared" si="96"/>
        <v>0.9261575079147719</v>
      </c>
      <c r="K811" s="223"/>
      <c r="L811" s="224"/>
    </row>
    <row r="812" spans="1:12" ht="18.75">
      <c r="A812" s="132"/>
      <c r="B812" s="132"/>
      <c r="C812" s="132" t="s">
        <v>16</v>
      </c>
      <c r="D812" s="132" t="s">
        <v>766</v>
      </c>
      <c r="E812" s="122" t="s">
        <v>17</v>
      </c>
      <c r="F812" s="130">
        <f>F817</f>
        <v>28042.699999999997</v>
      </c>
      <c r="G812" s="130">
        <f>G817</f>
        <v>0</v>
      </c>
      <c r="H812" s="130">
        <f>H817+H813</f>
        <v>27678.4</v>
      </c>
      <c r="I812" s="130">
        <f>I817+I813</f>
        <v>25629.9</v>
      </c>
      <c r="J812" s="166">
        <f t="shared" si="96"/>
        <v>0.9259892190300018</v>
      </c>
      <c r="K812" s="223"/>
      <c r="L812" s="224"/>
    </row>
    <row r="813" spans="1:12" ht="18.75">
      <c r="A813" s="132"/>
      <c r="B813" s="132"/>
      <c r="C813" s="132" t="s">
        <v>18</v>
      </c>
      <c r="D813" s="132" t="s">
        <v>766</v>
      </c>
      <c r="E813" s="122" t="s">
        <v>19</v>
      </c>
      <c r="F813" s="130"/>
      <c r="G813" s="130"/>
      <c r="H813" s="130">
        <f aca="true" t="shared" si="100" ref="H813:I815">H814</f>
        <v>75</v>
      </c>
      <c r="I813" s="130">
        <f t="shared" si="100"/>
        <v>75</v>
      </c>
      <c r="J813" s="166">
        <f t="shared" si="96"/>
        <v>1</v>
      </c>
      <c r="K813" s="223"/>
      <c r="L813" s="224"/>
    </row>
    <row r="814" spans="1:12" ht="37.5">
      <c r="A814" s="132"/>
      <c r="B814" s="132"/>
      <c r="C814" s="132" t="s">
        <v>29</v>
      </c>
      <c r="D814" s="132"/>
      <c r="E814" s="122" t="s">
        <v>811</v>
      </c>
      <c r="F814" s="130"/>
      <c r="G814" s="130"/>
      <c r="H814" s="130">
        <f t="shared" si="100"/>
        <v>75</v>
      </c>
      <c r="I814" s="130">
        <f t="shared" si="100"/>
        <v>75</v>
      </c>
      <c r="J814" s="166">
        <f t="shared" si="96"/>
        <v>1</v>
      </c>
      <c r="K814" s="223"/>
      <c r="L814" s="224"/>
    </row>
    <row r="815" spans="1:12" s="176" customFormat="1" ht="18.75">
      <c r="A815" s="193"/>
      <c r="B815" s="193"/>
      <c r="C815" s="119" t="s">
        <v>454</v>
      </c>
      <c r="D815" s="119"/>
      <c r="E815" s="133" t="s">
        <v>818</v>
      </c>
      <c r="F815" s="178"/>
      <c r="G815" s="178"/>
      <c r="H815" s="131">
        <f t="shared" si="100"/>
        <v>75</v>
      </c>
      <c r="I815" s="131">
        <f t="shared" si="100"/>
        <v>75</v>
      </c>
      <c r="J815" s="169">
        <f t="shared" si="96"/>
        <v>1</v>
      </c>
      <c r="K815" s="223"/>
      <c r="L815" s="224"/>
    </row>
    <row r="816" spans="1:12" s="176" customFormat="1" ht="18.75">
      <c r="A816" s="193"/>
      <c r="B816" s="193"/>
      <c r="C816" s="119"/>
      <c r="D816" s="119" t="s">
        <v>21</v>
      </c>
      <c r="E816" s="120" t="s">
        <v>22</v>
      </c>
      <c r="F816" s="178"/>
      <c r="G816" s="178"/>
      <c r="H816" s="131">
        <v>75</v>
      </c>
      <c r="I816" s="131">
        <v>75</v>
      </c>
      <c r="J816" s="169">
        <f t="shared" si="96"/>
        <v>1</v>
      </c>
      <c r="K816" s="223"/>
      <c r="L816" s="224"/>
    </row>
    <row r="817" spans="1:12" ht="37.5">
      <c r="A817" s="132"/>
      <c r="B817" s="132"/>
      <c r="C817" s="132" t="s">
        <v>39</v>
      </c>
      <c r="D817" s="132" t="s">
        <v>766</v>
      </c>
      <c r="E817" s="122" t="s">
        <v>501</v>
      </c>
      <c r="F817" s="130">
        <f>F818</f>
        <v>28042.699999999997</v>
      </c>
      <c r="G817" s="130">
        <f>G818</f>
        <v>0</v>
      </c>
      <c r="H817" s="130">
        <f>H818</f>
        <v>27603.4</v>
      </c>
      <c r="I817" s="130">
        <f>I818</f>
        <v>25554.9</v>
      </c>
      <c r="J817" s="166">
        <f t="shared" si="96"/>
        <v>0.9257881275495048</v>
      </c>
      <c r="K817" s="223"/>
      <c r="L817" s="224"/>
    </row>
    <row r="818" spans="1:12" ht="18.75">
      <c r="A818" s="132"/>
      <c r="B818" s="132"/>
      <c r="C818" s="132" t="s">
        <v>56</v>
      </c>
      <c r="D818" s="132"/>
      <c r="E818" s="122" t="s">
        <v>57</v>
      </c>
      <c r="F818" s="130">
        <f>F819+F821</f>
        <v>28042.699999999997</v>
      </c>
      <c r="G818" s="130">
        <f>G819+G821</f>
        <v>0</v>
      </c>
      <c r="H818" s="130">
        <f>H819+H821</f>
        <v>27603.4</v>
      </c>
      <c r="I818" s="130">
        <f>I819+I821</f>
        <v>25554.9</v>
      </c>
      <c r="J818" s="166">
        <f t="shared" si="96"/>
        <v>0.9257881275495048</v>
      </c>
      <c r="K818" s="223"/>
      <c r="L818" s="224"/>
    </row>
    <row r="819" spans="1:12" ht="18.75">
      <c r="A819" s="132"/>
      <c r="B819" s="132"/>
      <c r="C819" s="125" t="s">
        <v>426</v>
      </c>
      <c r="D819" s="125" t="s">
        <v>766</v>
      </c>
      <c r="E819" s="123" t="s">
        <v>819</v>
      </c>
      <c r="F819" s="115">
        <f>F820</f>
        <v>150</v>
      </c>
      <c r="G819" s="115">
        <f>G820</f>
        <v>0</v>
      </c>
      <c r="H819" s="115">
        <f>H820</f>
        <v>150</v>
      </c>
      <c r="I819" s="115">
        <f>I820</f>
        <v>50</v>
      </c>
      <c r="J819" s="167">
        <f t="shared" si="96"/>
        <v>0.3333333333333333</v>
      </c>
      <c r="K819" s="223"/>
      <c r="L819" s="224"/>
    </row>
    <row r="820" spans="1:12" ht="18.75">
      <c r="A820" s="125"/>
      <c r="B820" s="125"/>
      <c r="C820" s="125"/>
      <c r="D820" s="125" t="s">
        <v>32</v>
      </c>
      <c r="E820" s="124" t="s">
        <v>33</v>
      </c>
      <c r="F820" s="115">
        <v>150</v>
      </c>
      <c r="G820" s="115"/>
      <c r="H820" s="115">
        <f>SUM(F820:G820)</f>
        <v>150</v>
      </c>
      <c r="I820" s="115">
        <v>50</v>
      </c>
      <c r="J820" s="167">
        <f t="shared" si="96"/>
        <v>0.3333333333333333</v>
      </c>
      <c r="K820" s="223"/>
      <c r="L820" s="224"/>
    </row>
    <row r="821" spans="1:12" ht="25.5" customHeight="1">
      <c r="A821" s="125"/>
      <c r="B821" s="125"/>
      <c r="C821" s="126" t="s">
        <v>424</v>
      </c>
      <c r="D821" s="126"/>
      <c r="E821" s="143" t="s">
        <v>1004</v>
      </c>
      <c r="F821" s="131">
        <f>F822+F823</f>
        <v>27892.699999999997</v>
      </c>
      <c r="G821" s="131">
        <f>G822+G823</f>
        <v>0</v>
      </c>
      <c r="H821" s="131">
        <f>H822+H823</f>
        <v>27453.4</v>
      </c>
      <c r="I821" s="131">
        <f>I822+I823</f>
        <v>25504.9</v>
      </c>
      <c r="J821" s="169">
        <f t="shared" si="96"/>
        <v>0.9290251844944524</v>
      </c>
      <c r="K821" s="223"/>
      <c r="L821" s="224"/>
    </row>
    <row r="822" spans="1:12" ht="18.75">
      <c r="A822" s="125"/>
      <c r="B822" s="125"/>
      <c r="C822" s="126"/>
      <c r="D822" s="119" t="s">
        <v>32</v>
      </c>
      <c r="E822" s="120" t="s">
        <v>33</v>
      </c>
      <c r="F822" s="131">
        <f>1700+25.5+421+1682.1</f>
        <v>3828.6</v>
      </c>
      <c r="G822" s="131"/>
      <c r="H822" s="131">
        <v>4495</v>
      </c>
      <c r="I822" s="131">
        <v>4427.4</v>
      </c>
      <c r="J822" s="169">
        <f t="shared" si="96"/>
        <v>0.9849610678531701</v>
      </c>
      <c r="K822" s="223"/>
      <c r="L822" s="224"/>
    </row>
    <row r="823" spans="1:12" ht="18.75">
      <c r="A823" s="125"/>
      <c r="B823" s="125"/>
      <c r="C823" s="126"/>
      <c r="D823" s="119" t="s">
        <v>21</v>
      </c>
      <c r="E823" s="120" t="s">
        <v>22</v>
      </c>
      <c r="F823" s="131">
        <f>8201.9+15862.2</f>
        <v>24064.1</v>
      </c>
      <c r="G823" s="131"/>
      <c r="H823" s="131">
        <v>22958.4</v>
      </c>
      <c r="I823" s="131">
        <v>21077.5</v>
      </c>
      <c r="J823" s="169">
        <f t="shared" si="96"/>
        <v>0.9180735591330406</v>
      </c>
      <c r="K823" s="223"/>
      <c r="L823" s="224"/>
    </row>
    <row r="824" spans="1:12" ht="30.75" customHeight="1">
      <c r="A824" s="132"/>
      <c r="B824" s="132"/>
      <c r="C824" s="132" t="s">
        <v>255</v>
      </c>
      <c r="D824" s="132" t="s">
        <v>766</v>
      </c>
      <c r="E824" s="122" t="s">
        <v>256</v>
      </c>
      <c r="F824" s="130">
        <f aca="true" t="shared" si="101" ref="F824:I825">F825</f>
        <v>788.4</v>
      </c>
      <c r="G824" s="130">
        <f t="shared" si="101"/>
        <v>0</v>
      </c>
      <c r="H824" s="130">
        <f t="shared" si="101"/>
        <v>765.25</v>
      </c>
      <c r="I824" s="130">
        <f t="shared" si="101"/>
        <v>713.4</v>
      </c>
      <c r="J824" s="166">
        <f t="shared" si="96"/>
        <v>0.9322443645867363</v>
      </c>
      <c r="K824" s="223"/>
      <c r="L824" s="224"/>
    </row>
    <row r="825" spans="1:12" ht="18.75">
      <c r="A825" s="132"/>
      <c r="B825" s="132"/>
      <c r="C825" s="132" t="s">
        <v>261</v>
      </c>
      <c r="D825" s="132" t="s">
        <v>766</v>
      </c>
      <c r="E825" s="122" t="s">
        <v>262</v>
      </c>
      <c r="F825" s="130">
        <f t="shared" si="101"/>
        <v>788.4</v>
      </c>
      <c r="G825" s="130">
        <f t="shared" si="101"/>
        <v>0</v>
      </c>
      <c r="H825" s="130">
        <f t="shared" si="101"/>
        <v>765.25</v>
      </c>
      <c r="I825" s="130">
        <f t="shared" si="101"/>
        <v>713.4</v>
      </c>
      <c r="J825" s="166">
        <f t="shared" si="96"/>
        <v>0.9322443645867363</v>
      </c>
      <c r="K825" s="223"/>
      <c r="L825" s="224"/>
    </row>
    <row r="826" spans="1:12" ht="18.75">
      <c r="A826" s="132"/>
      <c r="B826" s="132"/>
      <c r="C826" s="132" t="s">
        <v>263</v>
      </c>
      <c r="D826" s="132"/>
      <c r="E826" s="122" t="s">
        <v>264</v>
      </c>
      <c r="F826" s="130">
        <f>F827+F829</f>
        <v>788.4</v>
      </c>
      <c r="G826" s="130">
        <f>G827+G829</f>
        <v>0</v>
      </c>
      <c r="H826" s="130">
        <f>H827+H829</f>
        <v>765.25</v>
      </c>
      <c r="I826" s="130">
        <f>I827+I829</f>
        <v>713.4</v>
      </c>
      <c r="J826" s="166">
        <f t="shared" si="96"/>
        <v>0.9322443645867363</v>
      </c>
      <c r="K826" s="223"/>
      <c r="L826" s="224"/>
    </row>
    <row r="827" spans="1:12" ht="33.75" customHeight="1">
      <c r="A827" s="132"/>
      <c r="B827" s="132"/>
      <c r="C827" s="125" t="s">
        <v>1017</v>
      </c>
      <c r="D827" s="125" t="s">
        <v>766</v>
      </c>
      <c r="E827" s="123" t="s">
        <v>1092</v>
      </c>
      <c r="F827" s="115">
        <f>F828</f>
        <v>263</v>
      </c>
      <c r="G827" s="115">
        <f>G828</f>
        <v>0</v>
      </c>
      <c r="H827" s="115">
        <f>H828</f>
        <v>299.1</v>
      </c>
      <c r="I827" s="115">
        <f>I828</f>
        <v>292.7</v>
      </c>
      <c r="J827" s="167">
        <f t="shared" si="96"/>
        <v>0.9786024740889333</v>
      </c>
      <c r="K827" s="223"/>
      <c r="L827" s="224"/>
    </row>
    <row r="828" spans="1:12" ht="18.75">
      <c r="A828" s="125"/>
      <c r="B828" s="125"/>
      <c r="C828" s="125"/>
      <c r="D828" s="125" t="s">
        <v>21</v>
      </c>
      <c r="E828" s="124" t="s">
        <v>22</v>
      </c>
      <c r="F828" s="115">
        <v>263</v>
      </c>
      <c r="G828" s="115"/>
      <c r="H828" s="115">
        <v>299.1</v>
      </c>
      <c r="I828" s="115">
        <v>292.7</v>
      </c>
      <c r="J828" s="167">
        <f aca="true" t="shared" si="102" ref="J828:J849">I828/H828</f>
        <v>0.9786024740889333</v>
      </c>
      <c r="K828" s="223"/>
      <c r="L828" s="224"/>
    </row>
    <row r="829" spans="1:12" ht="37.5">
      <c r="A829" s="125"/>
      <c r="B829" s="125"/>
      <c r="C829" s="126" t="s">
        <v>1017</v>
      </c>
      <c r="D829" s="119"/>
      <c r="E829" s="120" t="s">
        <v>1093</v>
      </c>
      <c r="F829" s="131">
        <f>F830</f>
        <v>525.4</v>
      </c>
      <c r="G829" s="131">
        <f>G830</f>
        <v>0</v>
      </c>
      <c r="H829" s="131">
        <f>H830</f>
        <v>466.15</v>
      </c>
      <c r="I829" s="131">
        <f>I830</f>
        <v>420.7</v>
      </c>
      <c r="J829" s="169">
        <f t="shared" si="102"/>
        <v>0.902499195537917</v>
      </c>
      <c r="K829" s="223"/>
      <c r="L829" s="224"/>
    </row>
    <row r="830" spans="1:12" ht="18.75">
      <c r="A830" s="125"/>
      <c r="B830" s="125"/>
      <c r="C830" s="126"/>
      <c r="D830" s="119" t="s">
        <v>21</v>
      </c>
      <c r="E830" s="120" t="s">
        <v>22</v>
      </c>
      <c r="F830" s="131">
        <v>525.4</v>
      </c>
      <c r="G830" s="131"/>
      <c r="H830" s="131">
        <v>466.15</v>
      </c>
      <c r="I830" s="131">
        <v>420.7</v>
      </c>
      <c r="J830" s="169">
        <f t="shared" si="102"/>
        <v>0.902499195537917</v>
      </c>
      <c r="K830" s="223"/>
      <c r="L830" s="224"/>
    </row>
    <row r="831" spans="1:12" ht="18.75">
      <c r="A831" s="125"/>
      <c r="B831" s="117" t="s">
        <v>399</v>
      </c>
      <c r="C831" s="117"/>
      <c r="D831" s="117"/>
      <c r="E831" s="118" t="s">
        <v>400</v>
      </c>
      <c r="F831" s="130">
        <f>F832</f>
        <v>25771.8</v>
      </c>
      <c r="G831" s="130">
        <f aca="true" t="shared" si="103" ref="G831:I835">G832</f>
        <v>0</v>
      </c>
      <c r="H831" s="130">
        <f t="shared" si="103"/>
        <v>19642.1</v>
      </c>
      <c r="I831" s="130">
        <f t="shared" si="103"/>
        <v>18936.3</v>
      </c>
      <c r="J831" s="166">
        <f t="shared" si="102"/>
        <v>0.9640669785817199</v>
      </c>
      <c r="K831" s="223"/>
      <c r="L831" s="224"/>
    </row>
    <row r="832" spans="1:12" ht="18.75">
      <c r="A832" s="125"/>
      <c r="B832" s="117"/>
      <c r="C832" s="117" t="s">
        <v>16</v>
      </c>
      <c r="D832" s="127"/>
      <c r="E832" s="135" t="s">
        <v>17</v>
      </c>
      <c r="F832" s="130">
        <f>F833</f>
        <v>25771.8</v>
      </c>
      <c r="G832" s="130">
        <f t="shared" si="103"/>
        <v>0</v>
      </c>
      <c r="H832" s="130">
        <f t="shared" si="103"/>
        <v>19642.1</v>
      </c>
      <c r="I832" s="130">
        <f t="shared" si="103"/>
        <v>18936.3</v>
      </c>
      <c r="J832" s="166">
        <f t="shared" si="102"/>
        <v>0.9640669785817199</v>
      </c>
      <c r="K832" s="223"/>
      <c r="L832" s="224"/>
    </row>
    <row r="833" spans="1:12" ht="37.5">
      <c r="A833" s="125"/>
      <c r="B833" s="117"/>
      <c r="C833" s="136" t="s">
        <v>39</v>
      </c>
      <c r="D833" s="132"/>
      <c r="E833" s="134" t="s">
        <v>40</v>
      </c>
      <c r="F833" s="130">
        <f>F834</f>
        <v>25771.8</v>
      </c>
      <c r="G833" s="130">
        <f t="shared" si="103"/>
        <v>0</v>
      </c>
      <c r="H833" s="130">
        <f t="shared" si="103"/>
        <v>19642.1</v>
      </c>
      <c r="I833" s="130">
        <f t="shared" si="103"/>
        <v>18936.3</v>
      </c>
      <c r="J833" s="166">
        <f t="shared" si="102"/>
        <v>0.9640669785817199</v>
      </c>
      <c r="K833" s="223"/>
      <c r="L833" s="224"/>
    </row>
    <row r="834" spans="1:12" ht="42" customHeight="1">
      <c r="A834" s="125"/>
      <c r="B834" s="117"/>
      <c r="C834" s="117" t="s">
        <v>56</v>
      </c>
      <c r="D834" s="136"/>
      <c r="E834" s="135" t="s">
        <v>57</v>
      </c>
      <c r="F834" s="130">
        <f>F835</f>
        <v>25771.8</v>
      </c>
      <c r="G834" s="130">
        <f t="shared" si="103"/>
        <v>0</v>
      </c>
      <c r="H834" s="130">
        <f t="shared" si="103"/>
        <v>19642.1</v>
      </c>
      <c r="I834" s="130">
        <f t="shared" si="103"/>
        <v>18936.3</v>
      </c>
      <c r="J834" s="166">
        <f t="shared" si="102"/>
        <v>0.9640669785817199</v>
      </c>
      <c r="K834" s="223"/>
      <c r="L834" s="224"/>
    </row>
    <row r="835" spans="1:12" ht="21.75" customHeight="1">
      <c r="A835" s="125"/>
      <c r="B835" s="117"/>
      <c r="C835" s="126" t="s">
        <v>424</v>
      </c>
      <c r="D835" s="126"/>
      <c r="E835" s="143" t="s">
        <v>1004</v>
      </c>
      <c r="F835" s="131">
        <f>F836</f>
        <v>25771.8</v>
      </c>
      <c r="G835" s="131">
        <f t="shared" si="103"/>
        <v>0</v>
      </c>
      <c r="H835" s="131">
        <f t="shared" si="103"/>
        <v>19642.1</v>
      </c>
      <c r="I835" s="131">
        <f t="shared" si="103"/>
        <v>18936.3</v>
      </c>
      <c r="J835" s="169">
        <f t="shared" si="102"/>
        <v>0.9640669785817199</v>
      </c>
      <c r="K835" s="223"/>
      <c r="L835" s="224"/>
    </row>
    <row r="836" spans="1:12" ht="27" customHeight="1">
      <c r="A836" s="125"/>
      <c r="B836" s="117"/>
      <c r="C836" s="126"/>
      <c r="D836" s="119" t="s">
        <v>32</v>
      </c>
      <c r="E836" s="120" t="s">
        <v>33</v>
      </c>
      <c r="F836" s="131">
        <v>25771.8</v>
      </c>
      <c r="G836" s="131"/>
      <c r="H836" s="131">
        <v>19642.1</v>
      </c>
      <c r="I836" s="131">
        <v>18936.3</v>
      </c>
      <c r="J836" s="169">
        <f t="shared" si="102"/>
        <v>0.9640669785817199</v>
      </c>
      <c r="K836" s="223"/>
      <c r="L836" s="224"/>
    </row>
    <row r="837" spans="1:12" ht="18" customHeight="1">
      <c r="A837" s="125"/>
      <c r="B837" s="117" t="s">
        <v>406</v>
      </c>
      <c r="C837" s="127"/>
      <c r="D837" s="125"/>
      <c r="E837" s="118" t="s">
        <v>407</v>
      </c>
      <c r="F837" s="131"/>
      <c r="G837" s="131"/>
      <c r="H837" s="130">
        <f>H845+H838</f>
        <v>1448.03107</v>
      </c>
      <c r="I837" s="130">
        <f>I845+I838</f>
        <v>1448.03107</v>
      </c>
      <c r="J837" s="166">
        <f t="shared" si="102"/>
        <v>1</v>
      </c>
      <c r="K837" s="223"/>
      <c r="L837" s="224"/>
    </row>
    <row r="838" spans="1:12" ht="18" customHeight="1">
      <c r="A838" s="125"/>
      <c r="B838" s="117" t="s">
        <v>1018</v>
      </c>
      <c r="C838" s="127"/>
      <c r="D838" s="125"/>
      <c r="E838" s="118" t="s">
        <v>485</v>
      </c>
      <c r="F838" s="131"/>
      <c r="G838" s="131"/>
      <c r="H838" s="130">
        <f aca="true" t="shared" si="104" ref="H838:I842">H839</f>
        <v>697.5</v>
      </c>
      <c r="I838" s="130">
        <f t="shared" si="104"/>
        <v>697.5</v>
      </c>
      <c r="J838" s="166">
        <f t="shared" si="102"/>
        <v>1</v>
      </c>
      <c r="K838" s="223"/>
      <c r="L838" s="224"/>
    </row>
    <row r="839" spans="1:12" ht="18" customHeight="1">
      <c r="A839" s="125"/>
      <c r="B839" s="117"/>
      <c r="C839" s="117" t="s">
        <v>16</v>
      </c>
      <c r="D839" s="127"/>
      <c r="E839" s="135" t="s">
        <v>17</v>
      </c>
      <c r="F839" s="131"/>
      <c r="G839" s="131"/>
      <c r="H839" s="130">
        <f>H840</f>
        <v>697.5</v>
      </c>
      <c r="I839" s="130">
        <f t="shared" si="104"/>
        <v>697.5</v>
      </c>
      <c r="J839" s="166">
        <f t="shared" si="102"/>
        <v>1</v>
      </c>
      <c r="K839" s="223"/>
      <c r="L839" s="224"/>
    </row>
    <row r="840" spans="1:12" ht="43.5" customHeight="1">
      <c r="A840" s="125"/>
      <c r="B840" s="117"/>
      <c r="C840" s="136" t="s">
        <v>39</v>
      </c>
      <c r="D840" s="132"/>
      <c r="E840" s="134" t="s">
        <v>40</v>
      </c>
      <c r="F840" s="131"/>
      <c r="G840" s="131"/>
      <c r="H840" s="130">
        <f>H841</f>
        <v>697.5</v>
      </c>
      <c r="I840" s="130">
        <f t="shared" si="104"/>
        <v>697.5</v>
      </c>
      <c r="J840" s="166">
        <f t="shared" si="102"/>
        <v>1</v>
      </c>
      <c r="K840" s="223"/>
      <c r="L840" s="224"/>
    </row>
    <row r="841" spans="1:12" ht="38.25" customHeight="1">
      <c r="A841" s="125"/>
      <c r="B841" s="117"/>
      <c r="C841" s="132" t="s">
        <v>41</v>
      </c>
      <c r="D841" s="132"/>
      <c r="E841" s="122" t="s">
        <v>42</v>
      </c>
      <c r="F841" s="131"/>
      <c r="G841" s="131"/>
      <c r="H841" s="130">
        <f>H842</f>
        <v>697.5</v>
      </c>
      <c r="I841" s="130">
        <f t="shared" si="104"/>
        <v>697.5</v>
      </c>
      <c r="J841" s="166">
        <f t="shared" si="102"/>
        <v>1</v>
      </c>
      <c r="K841" s="223"/>
      <c r="L841" s="224"/>
    </row>
    <row r="842" spans="1:12" s="176" customFormat="1" ht="21" customHeight="1">
      <c r="A842" s="119"/>
      <c r="B842" s="138"/>
      <c r="C842" s="119" t="s">
        <v>1019</v>
      </c>
      <c r="D842" s="119"/>
      <c r="E842" s="133" t="s">
        <v>1020</v>
      </c>
      <c r="F842" s="131"/>
      <c r="G842" s="131"/>
      <c r="H842" s="131">
        <f>H843</f>
        <v>697.5</v>
      </c>
      <c r="I842" s="131">
        <f t="shared" si="104"/>
        <v>697.5</v>
      </c>
      <c r="J842" s="169">
        <f t="shared" si="102"/>
        <v>1</v>
      </c>
      <c r="K842" s="223"/>
      <c r="L842" s="224"/>
    </row>
    <row r="843" spans="1:12" s="176" customFormat="1" ht="18" customHeight="1">
      <c r="A843" s="119"/>
      <c r="B843" s="138"/>
      <c r="C843" s="197"/>
      <c r="D843" s="119" t="s">
        <v>21</v>
      </c>
      <c r="E843" s="120" t="s">
        <v>22</v>
      </c>
      <c r="F843" s="131"/>
      <c r="G843" s="131"/>
      <c r="H843" s="131">
        <v>697.5</v>
      </c>
      <c r="I843" s="131">
        <v>697.5</v>
      </c>
      <c r="J843" s="169">
        <f t="shared" si="102"/>
        <v>1</v>
      </c>
      <c r="K843" s="223"/>
      <c r="L843" s="224"/>
    </row>
    <row r="844" spans="1:12" ht="18.75" customHeight="1">
      <c r="A844" s="125"/>
      <c r="B844" s="117" t="s">
        <v>408</v>
      </c>
      <c r="C844" s="142"/>
      <c r="D844" s="117"/>
      <c r="E844" s="118" t="s">
        <v>409</v>
      </c>
      <c r="F844" s="131"/>
      <c r="G844" s="131"/>
      <c r="H844" s="130">
        <f aca="true" t="shared" si="105" ref="H844:I846">H845</f>
        <v>750.53107</v>
      </c>
      <c r="I844" s="130">
        <f t="shared" si="105"/>
        <v>750.53107</v>
      </c>
      <c r="J844" s="166">
        <f t="shared" si="102"/>
        <v>1</v>
      </c>
      <c r="K844" s="223"/>
      <c r="L844" s="224"/>
    </row>
    <row r="845" spans="1:12" ht="26.25" customHeight="1">
      <c r="A845" s="125"/>
      <c r="B845" s="117"/>
      <c r="C845" s="132" t="s">
        <v>223</v>
      </c>
      <c r="D845" s="132" t="s">
        <v>766</v>
      </c>
      <c r="E845" s="122" t="s">
        <v>224</v>
      </c>
      <c r="F845" s="131"/>
      <c r="G845" s="131"/>
      <c r="H845" s="130">
        <f t="shared" si="105"/>
        <v>750.53107</v>
      </c>
      <c r="I845" s="130">
        <f t="shared" si="105"/>
        <v>750.53107</v>
      </c>
      <c r="J845" s="166">
        <f t="shared" si="102"/>
        <v>1</v>
      </c>
      <c r="K845" s="223"/>
      <c r="L845" s="224"/>
    </row>
    <row r="846" spans="1:12" ht="26.25" customHeight="1">
      <c r="A846" s="125"/>
      <c r="B846" s="117"/>
      <c r="C846" s="132" t="s">
        <v>225</v>
      </c>
      <c r="D846" s="132" t="s">
        <v>766</v>
      </c>
      <c r="E846" s="122" t="s">
        <v>503</v>
      </c>
      <c r="F846" s="131"/>
      <c r="G846" s="131"/>
      <c r="H846" s="130">
        <f t="shared" si="105"/>
        <v>750.53107</v>
      </c>
      <c r="I846" s="130">
        <f t="shared" si="105"/>
        <v>750.53107</v>
      </c>
      <c r="J846" s="166">
        <f t="shared" si="102"/>
        <v>1</v>
      </c>
      <c r="K846" s="223"/>
      <c r="L846" s="224"/>
    </row>
    <row r="847" spans="1:12" ht="36" customHeight="1">
      <c r="A847" s="125"/>
      <c r="B847" s="117"/>
      <c r="C847" s="132" t="s">
        <v>226</v>
      </c>
      <c r="D847" s="132"/>
      <c r="E847" s="122" t="s">
        <v>1021</v>
      </c>
      <c r="F847" s="131"/>
      <c r="G847" s="131"/>
      <c r="H847" s="130">
        <f>H848+H852</f>
        <v>750.53107</v>
      </c>
      <c r="I847" s="130">
        <f>I848+I852</f>
        <v>750.53107</v>
      </c>
      <c r="J847" s="166">
        <f t="shared" si="102"/>
        <v>1</v>
      </c>
      <c r="K847" s="223"/>
      <c r="L847" s="224"/>
    </row>
    <row r="848" spans="1:12" ht="56.25" customHeight="1">
      <c r="A848" s="125"/>
      <c r="B848" s="117"/>
      <c r="C848" s="125" t="s">
        <v>1022</v>
      </c>
      <c r="D848" s="125" t="s">
        <v>766</v>
      </c>
      <c r="E848" s="124" t="s">
        <v>988</v>
      </c>
      <c r="F848" s="131"/>
      <c r="G848" s="131"/>
      <c r="H848" s="173">
        <f>H849</f>
        <v>398.40279</v>
      </c>
      <c r="I848" s="173">
        <f>I849</f>
        <v>398.40279</v>
      </c>
      <c r="J848" s="167">
        <f t="shared" si="102"/>
        <v>1</v>
      </c>
      <c r="K848" s="223"/>
      <c r="L848" s="224"/>
    </row>
    <row r="849" spans="1:12" ht="40.5" customHeight="1">
      <c r="A849" s="125"/>
      <c r="B849" s="117"/>
      <c r="C849" s="125"/>
      <c r="D849" s="125" t="s">
        <v>21</v>
      </c>
      <c r="E849" s="124" t="s">
        <v>22</v>
      </c>
      <c r="F849" s="131"/>
      <c r="G849" s="131"/>
      <c r="H849" s="173">
        <f>H851</f>
        <v>398.40279</v>
      </c>
      <c r="I849" s="173">
        <f>I851</f>
        <v>398.40279</v>
      </c>
      <c r="J849" s="167">
        <f t="shared" si="102"/>
        <v>1</v>
      </c>
      <c r="K849" s="223"/>
      <c r="L849" s="224"/>
    </row>
    <row r="850" spans="1:12" ht="18" customHeight="1">
      <c r="A850" s="125"/>
      <c r="B850" s="117"/>
      <c r="C850" s="125"/>
      <c r="D850" s="125"/>
      <c r="E850" s="124" t="s">
        <v>889</v>
      </c>
      <c r="F850" s="131"/>
      <c r="G850" s="131"/>
      <c r="H850" s="171"/>
      <c r="I850" s="171"/>
      <c r="J850" s="167"/>
      <c r="K850" s="223"/>
      <c r="L850" s="224"/>
    </row>
    <row r="851" spans="1:12" ht="37.5" customHeight="1">
      <c r="A851" s="125"/>
      <c r="B851" s="117"/>
      <c r="C851" s="125"/>
      <c r="D851" s="125"/>
      <c r="E851" s="124" t="s">
        <v>1023</v>
      </c>
      <c r="F851" s="131"/>
      <c r="G851" s="131"/>
      <c r="H851" s="173">
        <v>398.40279</v>
      </c>
      <c r="I851" s="173">
        <v>398.40279</v>
      </c>
      <c r="J851" s="167">
        <f>I851/H851</f>
        <v>1</v>
      </c>
      <c r="K851" s="223"/>
      <c r="L851" s="224"/>
    </row>
    <row r="852" spans="1:12" ht="34.5" customHeight="1">
      <c r="A852" s="125"/>
      <c r="B852" s="117"/>
      <c r="C852" s="119" t="s">
        <v>1024</v>
      </c>
      <c r="D852" s="119"/>
      <c r="E852" s="120" t="s">
        <v>992</v>
      </c>
      <c r="F852" s="131"/>
      <c r="G852" s="131"/>
      <c r="H852" s="171">
        <f>H853</f>
        <v>352.12828</v>
      </c>
      <c r="I852" s="171">
        <f>I853</f>
        <v>352.12828</v>
      </c>
      <c r="J852" s="169">
        <f>I852/H852</f>
        <v>1</v>
      </c>
      <c r="K852" s="223"/>
      <c r="L852" s="224"/>
    </row>
    <row r="853" spans="1:12" ht="34.5" customHeight="1">
      <c r="A853" s="125"/>
      <c r="B853" s="117"/>
      <c r="C853" s="119"/>
      <c r="D853" s="119" t="s">
        <v>21</v>
      </c>
      <c r="E853" s="120" t="s">
        <v>22</v>
      </c>
      <c r="F853" s="131"/>
      <c r="G853" s="131"/>
      <c r="H853" s="171">
        <f>H855</f>
        <v>352.12828</v>
      </c>
      <c r="I853" s="171">
        <f>I855</f>
        <v>352.12828</v>
      </c>
      <c r="J853" s="169">
        <f>I853/H853</f>
        <v>1</v>
      </c>
      <c r="K853" s="223"/>
      <c r="L853" s="224"/>
    </row>
    <row r="854" spans="1:12" ht="19.5" customHeight="1">
      <c r="A854" s="125"/>
      <c r="B854" s="117"/>
      <c r="C854" s="119"/>
      <c r="D854" s="119"/>
      <c r="E854" s="120" t="s">
        <v>889</v>
      </c>
      <c r="F854" s="131"/>
      <c r="G854" s="131"/>
      <c r="H854" s="171"/>
      <c r="I854" s="171"/>
      <c r="J854" s="169"/>
      <c r="K854" s="223"/>
      <c r="L854" s="224"/>
    </row>
    <row r="855" spans="1:12" ht="38.25" customHeight="1">
      <c r="A855" s="125"/>
      <c r="B855" s="117"/>
      <c r="C855" s="119"/>
      <c r="D855" s="119"/>
      <c r="E855" s="120" t="s">
        <v>1023</v>
      </c>
      <c r="F855" s="131"/>
      <c r="G855" s="131"/>
      <c r="H855" s="171">
        <v>352.12828</v>
      </c>
      <c r="I855" s="171">
        <v>352.12828</v>
      </c>
      <c r="J855" s="169">
        <f>I855/H855</f>
        <v>1</v>
      </c>
      <c r="K855" s="223"/>
      <c r="L855" s="224"/>
    </row>
    <row r="856" spans="1:12" ht="19.5">
      <c r="A856" s="11"/>
      <c r="B856" s="11"/>
      <c r="C856" s="213"/>
      <c r="D856" s="13"/>
      <c r="E856" s="214"/>
      <c r="F856" s="115"/>
      <c r="G856" s="115"/>
      <c r="H856" s="215"/>
      <c r="I856" s="215"/>
      <c r="J856" s="216"/>
      <c r="K856" s="223"/>
      <c r="L856" s="224"/>
    </row>
    <row r="857" spans="1:12" ht="25.5" customHeight="1">
      <c r="A857" s="162" t="s">
        <v>401</v>
      </c>
      <c r="B857" s="162" t="s">
        <v>766</v>
      </c>
      <c r="C857" s="162" t="s">
        <v>766</v>
      </c>
      <c r="D857" s="162" t="s">
        <v>766</v>
      </c>
      <c r="E857" s="163" t="s">
        <v>14</v>
      </c>
      <c r="F857" s="164">
        <f>F858+F866+F883+F913+F983</f>
        <v>148471.4</v>
      </c>
      <c r="G857" s="164">
        <f>G858+G866+G883+G913+G983</f>
        <v>0</v>
      </c>
      <c r="H857" s="164">
        <f>H858+H866+H883+H913+H983+H876</f>
        <v>180690.39999999997</v>
      </c>
      <c r="I857" s="164">
        <f>I858+I866+I883+I913+I983+I876</f>
        <v>177931.13999999998</v>
      </c>
      <c r="J857" s="165">
        <f aca="true" t="shared" si="106" ref="J857:J888">I857/H857</f>
        <v>0.984729349207263</v>
      </c>
      <c r="K857" s="223"/>
      <c r="L857" s="224"/>
    </row>
    <row r="858" spans="1:12" ht="18.75">
      <c r="A858" s="132"/>
      <c r="B858" s="117" t="s">
        <v>329</v>
      </c>
      <c r="C858" s="117"/>
      <c r="D858" s="117"/>
      <c r="E858" s="118" t="s">
        <v>330</v>
      </c>
      <c r="F858" s="130">
        <f>F859</f>
        <v>69.9</v>
      </c>
      <c r="G858" s="130">
        <f aca="true" t="shared" si="107" ref="G858:I862">G859</f>
        <v>0</v>
      </c>
      <c r="H858" s="130">
        <f t="shared" si="107"/>
        <v>69.89999999999999</v>
      </c>
      <c r="I858" s="130">
        <f t="shared" si="107"/>
        <v>57.5</v>
      </c>
      <c r="J858" s="166">
        <f t="shared" si="106"/>
        <v>0.8226037195994279</v>
      </c>
      <c r="K858" s="223"/>
      <c r="L858" s="224"/>
    </row>
    <row r="859" spans="1:12" ht="18.75">
      <c r="A859" s="132"/>
      <c r="B859" s="116" t="s">
        <v>333</v>
      </c>
      <c r="C859" s="117"/>
      <c r="D859" s="117"/>
      <c r="E859" s="118" t="s">
        <v>334</v>
      </c>
      <c r="F859" s="130">
        <f>F860</f>
        <v>69.9</v>
      </c>
      <c r="G859" s="130">
        <f t="shared" si="107"/>
        <v>0</v>
      </c>
      <c r="H859" s="130">
        <f t="shared" si="107"/>
        <v>69.89999999999999</v>
      </c>
      <c r="I859" s="130">
        <f t="shared" si="107"/>
        <v>57.5</v>
      </c>
      <c r="J859" s="166">
        <f t="shared" si="106"/>
        <v>0.8226037195994279</v>
      </c>
      <c r="K859" s="223"/>
      <c r="L859" s="224"/>
    </row>
    <row r="860" spans="1:12" ht="37.5">
      <c r="A860" s="132"/>
      <c r="B860" s="132"/>
      <c r="C860" s="132" t="s">
        <v>269</v>
      </c>
      <c r="D860" s="132" t="s">
        <v>766</v>
      </c>
      <c r="E860" s="122" t="s">
        <v>412</v>
      </c>
      <c r="F860" s="130">
        <f>F861</f>
        <v>69.9</v>
      </c>
      <c r="G860" s="130">
        <f t="shared" si="107"/>
        <v>0</v>
      </c>
      <c r="H860" s="130">
        <f t="shared" si="107"/>
        <v>69.89999999999999</v>
      </c>
      <c r="I860" s="130">
        <f t="shared" si="107"/>
        <v>57.5</v>
      </c>
      <c r="J860" s="166">
        <f t="shared" si="106"/>
        <v>0.8226037195994279</v>
      </c>
      <c r="K860" s="223"/>
      <c r="L860" s="224"/>
    </row>
    <row r="861" spans="1:12" ht="25.5" customHeight="1">
      <c r="A861" s="132"/>
      <c r="B861" s="132"/>
      <c r="C861" s="132" t="s">
        <v>270</v>
      </c>
      <c r="D861" s="132" t="s">
        <v>766</v>
      </c>
      <c r="E861" s="122" t="s">
        <v>271</v>
      </c>
      <c r="F861" s="130">
        <f>F862</f>
        <v>69.9</v>
      </c>
      <c r="G861" s="130">
        <f t="shared" si="107"/>
        <v>0</v>
      </c>
      <c r="H861" s="130">
        <f t="shared" si="107"/>
        <v>69.89999999999999</v>
      </c>
      <c r="I861" s="130">
        <f t="shared" si="107"/>
        <v>57.5</v>
      </c>
      <c r="J861" s="166">
        <f t="shared" si="106"/>
        <v>0.8226037195994279</v>
      </c>
      <c r="K861" s="223"/>
      <c r="L861" s="224"/>
    </row>
    <row r="862" spans="1:12" ht="37.5">
      <c r="A862" s="132"/>
      <c r="B862" s="132"/>
      <c r="C862" s="132" t="s">
        <v>272</v>
      </c>
      <c r="D862" s="132"/>
      <c r="E862" s="122" t="s">
        <v>273</v>
      </c>
      <c r="F862" s="130">
        <f>F863</f>
        <v>69.9</v>
      </c>
      <c r="G862" s="130">
        <f t="shared" si="107"/>
        <v>0</v>
      </c>
      <c r="H862" s="130">
        <f t="shared" si="107"/>
        <v>69.89999999999999</v>
      </c>
      <c r="I862" s="130">
        <f t="shared" si="107"/>
        <v>57.5</v>
      </c>
      <c r="J862" s="166">
        <f t="shared" si="106"/>
        <v>0.8226037195994279</v>
      </c>
      <c r="K862" s="223"/>
      <c r="L862" s="224"/>
    </row>
    <row r="863" spans="1:12" ht="18.75">
      <c r="A863" s="132"/>
      <c r="B863" s="132"/>
      <c r="C863" s="125" t="s">
        <v>274</v>
      </c>
      <c r="D863" s="125" t="s">
        <v>766</v>
      </c>
      <c r="E863" s="123" t="s">
        <v>275</v>
      </c>
      <c r="F863" s="115">
        <f>F864+F865</f>
        <v>69.9</v>
      </c>
      <c r="G863" s="115">
        <f>G864+G865</f>
        <v>0</v>
      </c>
      <c r="H863" s="115">
        <f>H864+H865</f>
        <v>69.89999999999999</v>
      </c>
      <c r="I863" s="115">
        <f>I864+I865</f>
        <v>57.5</v>
      </c>
      <c r="J863" s="167">
        <f t="shared" si="106"/>
        <v>0.8226037195994279</v>
      </c>
      <c r="K863" s="223"/>
      <c r="L863" s="224"/>
    </row>
    <row r="864" spans="1:12" ht="37.5">
      <c r="A864" s="125"/>
      <c r="B864" s="125"/>
      <c r="C864" s="125"/>
      <c r="D864" s="125" t="s">
        <v>46</v>
      </c>
      <c r="E864" s="124" t="s">
        <v>47</v>
      </c>
      <c r="F864" s="115">
        <v>5</v>
      </c>
      <c r="G864" s="115"/>
      <c r="H864" s="115">
        <v>7.6</v>
      </c>
      <c r="I864" s="115">
        <v>7.6</v>
      </c>
      <c r="J864" s="167">
        <f t="shared" si="106"/>
        <v>1</v>
      </c>
      <c r="K864" s="223"/>
      <c r="L864" s="224"/>
    </row>
    <row r="865" spans="1:12" ht="18.75">
      <c r="A865" s="125"/>
      <c r="B865" s="125"/>
      <c r="C865" s="125"/>
      <c r="D865" s="125" t="s">
        <v>27</v>
      </c>
      <c r="E865" s="124" t="s">
        <v>28</v>
      </c>
      <c r="F865" s="115">
        <v>64.9</v>
      </c>
      <c r="G865" s="115"/>
      <c r="H865" s="115">
        <v>62.3</v>
      </c>
      <c r="I865" s="115">
        <v>49.9</v>
      </c>
      <c r="J865" s="167">
        <f t="shared" si="106"/>
        <v>0.8009630818619583</v>
      </c>
      <c r="K865" s="223"/>
      <c r="L865" s="224"/>
    </row>
    <row r="866" spans="1:12" ht="18.75">
      <c r="A866" s="125"/>
      <c r="B866" s="117" t="s">
        <v>351</v>
      </c>
      <c r="C866" s="117"/>
      <c r="D866" s="117"/>
      <c r="E866" s="118" t="s">
        <v>352</v>
      </c>
      <c r="F866" s="130">
        <f>F867</f>
        <v>230</v>
      </c>
      <c r="G866" s="130">
        <f aca="true" t="shared" si="108" ref="G866:I870">G867</f>
        <v>0</v>
      </c>
      <c r="H866" s="130">
        <f t="shared" si="108"/>
        <v>230</v>
      </c>
      <c r="I866" s="130">
        <f t="shared" si="108"/>
        <v>230</v>
      </c>
      <c r="J866" s="166">
        <f t="shared" si="106"/>
        <v>1</v>
      </c>
      <c r="K866" s="223"/>
      <c r="L866" s="224"/>
    </row>
    <row r="867" spans="1:12" ht="18.75">
      <c r="A867" s="125"/>
      <c r="B867" s="116" t="s">
        <v>358</v>
      </c>
      <c r="C867" s="117"/>
      <c r="D867" s="117"/>
      <c r="E867" s="118" t="s">
        <v>359</v>
      </c>
      <c r="F867" s="130">
        <f>F868</f>
        <v>230</v>
      </c>
      <c r="G867" s="130">
        <f t="shared" si="108"/>
        <v>0</v>
      </c>
      <c r="H867" s="130">
        <f t="shared" si="108"/>
        <v>230</v>
      </c>
      <c r="I867" s="130">
        <f t="shared" si="108"/>
        <v>230</v>
      </c>
      <c r="J867" s="166">
        <f t="shared" si="106"/>
        <v>1</v>
      </c>
      <c r="K867" s="223"/>
      <c r="L867" s="224"/>
    </row>
    <row r="868" spans="1:12" ht="37.5">
      <c r="A868" s="132"/>
      <c r="B868" s="132"/>
      <c r="C868" s="132" t="s">
        <v>64</v>
      </c>
      <c r="D868" s="132" t="s">
        <v>766</v>
      </c>
      <c r="E868" s="122" t="s">
        <v>434</v>
      </c>
      <c r="F868" s="130">
        <f>F869</f>
        <v>230</v>
      </c>
      <c r="G868" s="130">
        <f t="shared" si="108"/>
        <v>0</v>
      </c>
      <c r="H868" s="130">
        <f t="shared" si="108"/>
        <v>230</v>
      </c>
      <c r="I868" s="130">
        <f t="shared" si="108"/>
        <v>230</v>
      </c>
      <c r="J868" s="166">
        <f t="shared" si="106"/>
        <v>1</v>
      </c>
      <c r="K868" s="223"/>
      <c r="L868" s="224"/>
    </row>
    <row r="869" spans="1:12" ht="18.75">
      <c r="A869" s="132"/>
      <c r="B869" s="132"/>
      <c r="C869" s="132" t="s">
        <v>75</v>
      </c>
      <c r="D869" s="132" t="s">
        <v>766</v>
      </c>
      <c r="E869" s="122" t="s">
        <v>502</v>
      </c>
      <c r="F869" s="130">
        <f>F870</f>
        <v>230</v>
      </c>
      <c r="G869" s="130">
        <f t="shared" si="108"/>
        <v>0</v>
      </c>
      <c r="H869" s="130">
        <f t="shared" si="108"/>
        <v>230</v>
      </c>
      <c r="I869" s="130">
        <f t="shared" si="108"/>
        <v>230</v>
      </c>
      <c r="J869" s="166">
        <f t="shared" si="106"/>
        <v>1</v>
      </c>
      <c r="K869" s="223"/>
      <c r="L869" s="224"/>
    </row>
    <row r="870" spans="1:12" ht="37.5">
      <c r="A870" s="132"/>
      <c r="B870" s="132"/>
      <c r="C870" s="132" t="s">
        <v>76</v>
      </c>
      <c r="D870" s="132"/>
      <c r="E870" s="122" t="s">
        <v>77</v>
      </c>
      <c r="F870" s="130">
        <f>F871</f>
        <v>230</v>
      </c>
      <c r="G870" s="130">
        <f t="shared" si="108"/>
        <v>0</v>
      </c>
      <c r="H870" s="130">
        <f t="shared" si="108"/>
        <v>230</v>
      </c>
      <c r="I870" s="130">
        <f t="shared" si="108"/>
        <v>230</v>
      </c>
      <c r="J870" s="166">
        <f t="shared" si="106"/>
        <v>1</v>
      </c>
      <c r="K870" s="223"/>
      <c r="L870" s="224"/>
    </row>
    <row r="871" spans="1:12" ht="18.75">
      <c r="A871" s="132"/>
      <c r="B871" s="132"/>
      <c r="C871" s="125" t="s">
        <v>78</v>
      </c>
      <c r="D871" s="125" t="s">
        <v>766</v>
      </c>
      <c r="E871" s="123" t="s">
        <v>1025</v>
      </c>
      <c r="F871" s="115">
        <f>F873+F875+F874</f>
        <v>230</v>
      </c>
      <c r="G871" s="115">
        <f>G873+G875+G874</f>
        <v>0</v>
      </c>
      <c r="H871" s="115">
        <f>H872+H873+H875+H874</f>
        <v>230</v>
      </c>
      <c r="I871" s="115">
        <f>I872+I873+I875+I874</f>
        <v>230</v>
      </c>
      <c r="J871" s="167">
        <f t="shared" si="106"/>
        <v>1</v>
      </c>
      <c r="K871" s="223"/>
      <c r="L871" s="224"/>
    </row>
    <row r="872" spans="1:12" ht="37.5">
      <c r="A872" s="132"/>
      <c r="B872" s="132"/>
      <c r="C872" s="125"/>
      <c r="D872" s="125" t="s">
        <v>46</v>
      </c>
      <c r="E872" s="124" t="s">
        <v>47</v>
      </c>
      <c r="F872" s="115"/>
      <c r="G872" s="115"/>
      <c r="H872" s="115">
        <v>24</v>
      </c>
      <c r="I872" s="115">
        <v>24</v>
      </c>
      <c r="J872" s="167">
        <f t="shared" si="106"/>
        <v>1</v>
      </c>
      <c r="K872" s="223"/>
      <c r="L872" s="224"/>
    </row>
    <row r="873" spans="1:12" ht="18.75">
      <c r="A873" s="125"/>
      <c r="B873" s="125"/>
      <c r="C873" s="125"/>
      <c r="D873" s="125" t="s">
        <v>27</v>
      </c>
      <c r="E873" s="124" t="s">
        <v>28</v>
      </c>
      <c r="F873" s="115">
        <v>130</v>
      </c>
      <c r="G873" s="115"/>
      <c r="H873" s="115">
        <v>106</v>
      </c>
      <c r="I873" s="115">
        <v>106</v>
      </c>
      <c r="J873" s="167">
        <f t="shared" si="106"/>
        <v>1</v>
      </c>
      <c r="K873" s="223"/>
      <c r="L873" s="224"/>
    </row>
    <row r="874" spans="1:12" ht="18.75">
      <c r="A874" s="125"/>
      <c r="B874" s="125"/>
      <c r="C874" s="125"/>
      <c r="D874" s="125" t="s">
        <v>21</v>
      </c>
      <c r="E874" s="124" t="s">
        <v>22</v>
      </c>
      <c r="F874" s="115">
        <v>30</v>
      </c>
      <c r="G874" s="115"/>
      <c r="H874" s="115">
        <f>SUM(F874:G874)</f>
        <v>30</v>
      </c>
      <c r="I874" s="115">
        <v>30</v>
      </c>
      <c r="J874" s="167">
        <f t="shared" si="106"/>
        <v>1</v>
      </c>
      <c r="K874" s="223"/>
      <c r="L874" s="224"/>
    </row>
    <row r="875" spans="1:12" ht="18.75">
      <c r="A875" s="125"/>
      <c r="B875" s="125"/>
      <c r="C875" s="125"/>
      <c r="D875" s="125" t="s">
        <v>62</v>
      </c>
      <c r="E875" s="124" t="s">
        <v>63</v>
      </c>
      <c r="F875" s="115">
        <v>70</v>
      </c>
      <c r="G875" s="115"/>
      <c r="H875" s="115">
        <f>SUM(F875:G875)</f>
        <v>70</v>
      </c>
      <c r="I875" s="115">
        <v>70</v>
      </c>
      <c r="J875" s="167">
        <f t="shared" si="106"/>
        <v>1</v>
      </c>
      <c r="K875" s="223"/>
      <c r="L875" s="224"/>
    </row>
    <row r="876" spans="1:12" ht="18.75">
      <c r="A876" s="125"/>
      <c r="B876" s="132" t="s">
        <v>360</v>
      </c>
      <c r="C876" s="132"/>
      <c r="D876" s="132"/>
      <c r="E876" s="118" t="s">
        <v>361</v>
      </c>
      <c r="F876" s="115"/>
      <c r="G876" s="115"/>
      <c r="H876" s="130">
        <f aca="true" t="shared" si="109" ref="H876:I881">H877</f>
        <v>950</v>
      </c>
      <c r="I876" s="130">
        <f t="shared" si="109"/>
        <v>761.75</v>
      </c>
      <c r="J876" s="166">
        <f t="shared" si="106"/>
        <v>0.8018421052631579</v>
      </c>
      <c r="K876" s="223"/>
      <c r="L876" s="224"/>
    </row>
    <row r="877" spans="1:12" ht="18.75">
      <c r="A877" s="125"/>
      <c r="B877" s="117" t="s">
        <v>366</v>
      </c>
      <c r="C877" s="117"/>
      <c r="D877" s="117"/>
      <c r="E877" s="118" t="s">
        <v>367</v>
      </c>
      <c r="F877" s="115"/>
      <c r="G877" s="115"/>
      <c r="H877" s="130">
        <f t="shared" si="109"/>
        <v>950</v>
      </c>
      <c r="I877" s="130">
        <f t="shared" si="109"/>
        <v>761.75</v>
      </c>
      <c r="J877" s="166">
        <f t="shared" si="106"/>
        <v>0.8018421052631579</v>
      </c>
      <c r="K877" s="223"/>
      <c r="L877" s="224"/>
    </row>
    <row r="878" spans="1:12" ht="18.75">
      <c r="A878" s="125"/>
      <c r="B878" s="125"/>
      <c r="C878" s="132" t="s">
        <v>167</v>
      </c>
      <c r="D878" s="132" t="s">
        <v>766</v>
      </c>
      <c r="E878" s="122" t="s">
        <v>168</v>
      </c>
      <c r="F878" s="115"/>
      <c r="G878" s="115"/>
      <c r="H878" s="130">
        <f t="shared" si="109"/>
        <v>950</v>
      </c>
      <c r="I878" s="130">
        <f t="shared" si="109"/>
        <v>761.75</v>
      </c>
      <c r="J878" s="166">
        <f t="shared" si="106"/>
        <v>0.8018421052631579</v>
      </c>
      <c r="K878" s="223"/>
      <c r="L878" s="224"/>
    </row>
    <row r="879" spans="1:12" ht="18.75">
      <c r="A879" s="125"/>
      <c r="B879" s="125"/>
      <c r="C879" s="132" t="s">
        <v>169</v>
      </c>
      <c r="D879" s="132" t="s">
        <v>766</v>
      </c>
      <c r="E879" s="122" t="s">
        <v>170</v>
      </c>
      <c r="F879" s="115"/>
      <c r="G879" s="115"/>
      <c r="H879" s="130">
        <f t="shared" si="109"/>
        <v>950</v>
      </c>
      <c r="I879" s="130">
        <f t="shared" si="109"/>
        <v>761.75</v>
      </c>
      <c r="J879" s="166">
        <f t="shared" si="106"/>
        <v>0.8018421052631579</v>
      </c>
      <c r="K879" s="223"/>
      <c r="L879" s="224"/>
    </row>
    <row r="880" spans="1:12" ht="37.5">
      <c r="A880" s="125"/>
      <c r="B880" s="125"/>
      <c r="C880" s="132" t="s">
        <v>937</v>
      </c>
      <c r="D880" s="132"/>
      <c r="E880" s="134" t="s">
        <v>938</v>
      </c>
      <c r="F880" s="115"/>
      <c r="G880" s="115"/>
      <c r="H880" s="130">
        <f t="shared" si="109"/>
        <v>950</v>
      </c>
      <c r="I880" s="130">
        <f t="shared" si="109"/>
        <v>761.75</v>
      </c>
      <c r="J880" s="166">
        <f t="shared" si="106"/>
        <v>0.8018421052631579</v>
      </c>
      <c r="K880" s="223"/>
      <c r="L880" s="224"/>
    </row>
    <row r="881" spans="1:12" ht="37.5">
      <c r="A881" s="125"/>
      <c r="B881" s="125"/>
      <c r="C881" s="125" t="s">
        <v>939</v>
      </c>
      <c r="D881" s="125" t="s">
        <v>766</v>
      </c>
      <c r="E881" s="123" t="s">
        <v>940</v>
      </c>
      <c r="F881" s="115"/>
      <c r="G881" s="115"/>
      <c r="H881" s="115">
        <f t="shared" si="109"/>
        <v>950</v>
      </c>
      <c r="I881" s="115">
        <f t="shared" si="109"/>
        <v>761.75</v>
      </c>
      <c r="J881" s="167">
        <f t="shared" si="106"/>
        <v>0.8018421052631579</v>
      </c>
      <c r="K881" s="223"/>
      <c r="L881" s="224"/>
    </row>
    <row r="882" spans="1:12" ht="18.75">
      <c r="A882" s="125"/>
      <c r="B882" s="125"/>
      <c r="C882" s="125"/>
      <c r="D882" s="125" t="s">
        <v>27</v>
      </c>
      <c r="E882" s="123" t="s">
        <v>28</v>
      </c>
      <c r="F882" s="115"/>
      <c r="G882" s="115"/>
      <c r="H882" s="115">
        <v>950</v>
      </c>
      <c r="I882" s="115">
        <v>761.75</v>
      </c>
      <c r="J882" s="167">
        <f t="shared" si="106"/>
        <v>0.8018421052631579</v>
      </c>
      <c r="K882" s="223"/>
      <c r="L882" s="224"/>
    </row>
    <row r="883" spans="1:12" ht="18.75">
      <c r="A883" s="125"/>
      <c r="B883" s="117" t="s">
        <v>374</v>
      </c>
      <c r="C883" s="117"/>
      <c r="D883" s="117"/>
      <c r="E883" s="118" t="s">
        <v>375</v>
      </c>
      <c r="F883" s="130">
        <f>F884+F901</f>
        <v>42469.899999999994</v>
      </c>
      <c r="G883" s="130">
        <f>G884+G901</f>
        <v>0</v>
      </c>
      <c r="H883" s="130">
        <f>H884+H901</f>
        <v>43223.799999999996</v>
      </c>
      <c r="I883" s="130">
        <f>I884+I901</f>
        <v>43222.95</v>
      </c>
      <c r="J883" s="166">
        <f t="shared" si="106"/>
        <v>0.9999803349080831</v>
      </c>
      <c r="K883" s="223"/>
      <c r="L883" s="224"/>
    </row>
    <row r="884" spans="1:12" ht="18.75">
      <c r="A884" s="125"/>
      <c r="B884" s="132" t="s">
        <v>797</v>
      </c>
      <c r="C884" s="132"/>
      <c r="D884" s="132"/>
      <c r="E884" s="134" t="s">
        <v>798</v>
      </c>
      <c r="F884" s="130">
        <f>F894+F885</f>
        <v>41114.7</v>
      </c>
      <c r="G884" s="130">
        <f>G894+G885</f>
        <v>0</v>
      </c>
      <c r="H884" s="130">
        <f>H894+H885</f>
        <v>41479.7</v>
      </c>
      <c r="I884" s="130">
        <f>I894+I885</f>
        <v>41478.85</v>
      </c>
      <c r="J884" s="166">
        <f t="shared" si="106"/>
        <v>0.9999795080485153</v>
      </c>
      <c r="K884" s="223"/>
      <c r="L884" s="224"/>
    </row>
    <row r="885" spans="1:12" ht="37.5">
      <c r="A885" s="132"/>
      <c r="B885" s="132"/>
      <c r="C885" s="132" t="s">
        <v>64</v>
      </c>
      <c r="D885" s="132" t="s">
        <v>766</v>
      </c>
      <c r="E885" s="122" t="s">
        <v>434</v>
      </c>
      <c r="F885" s="130">
        <f>F886+F890</f>
        <v>40646.1</v>
      </c>
      <c r="G885" s="130">
        <f>G886+G890</f>
        <v>0</v>
      </c>
      <c r="H885" s="130">
        <f>H886+H890</f>
        <v>41011.1</v>
      </c>
      <c r="I885" s="130">
        <f>I886+I890</f>
        <v>41010.25</v>
      </c>
      <c r="J885" s="166">
        <f t="shared" si="106"/>
        <v>0.9999792739038943</v>
      </c>
      <c r="K885" s="223"/>
      <c r="L885" s="224"/>
    </row>
    <row r="886" spans="1:12" ht="18.75">
      <c r="A886" s="132"/>
      <c r="B886" s="132"/>
      <c r="C886" s="117" t="s">
        <v>66</v>
      </c>
      <c r="D886" s="127"/>
      <c r="E886" s="135" t="s">
        <v>67</v>
      </c>
      <c r="F886" s="130">
        <f>F887</f>
        <v>435.2</v>
      </c>
      <c r="G886" s="130">
        <f aca="true" t="shared" si="110" ref="G886:I888">G887</f>
        <v>0</v>
      </c>
      <c r="H886" s="130">
        <f t="shared" si="110"/>
        <v>520.2</v>
      </c>
      <c r="I886" s="130">
        <f t="shared" si="110"/>
        <v>519.35</v>
      </c>
      <c r="J886" s="166">
        <f t="shared" si="106"/>
        <v>0.9983660130718954</v>
      </c>
      <c r="K886" s="223"/>
      <c r="L886" s="224"/>
    </row>
    <row r="887" spans="1:12" ht="18.75">
      <c r="A887" s="132"/>
      <c r="B887" s="132"/>
      <c r="C887" s="132" t="s">
        <v>68</v>
      </c>
      <c r="D887" s="127"/>
      <c r="E887" s="135" t="s">
        <v>69</v>
      </c>
      <c r="F887" s="130">
        <f>F888</f>
        <v>435.2</v>
      </c>
      <c r="G887" s="130">
        <f t="shared" si="110"/>
        <v>0</v>
      </c>
      <c r="H887" s="130">
        <f t="shared" si="110"/>
        <v>520.2</v>
      </c>
      <c r="I887" s="130">
        <f t="shared" si="110"/>
        <v>519.35</v>
      </c>
      <c r="J887" s="166">
        <f t="shared" si="106"/>
        <v>0.9983660130718954</v>
      </c>
      <c r="K887" s="223"/>
      <c r="L887" s="224"/>
    </row>
    <row r="888" spans="1:12" ht="18.75">
      <c r="A888" s="132"/>
      <c r="B888" s="132"/>
      <c r="C888" s="127" t="s">
        <v>70</v>
      </c>
      <c r="D888" s="125"/>
      <c r="E888" s="124" t="s">
        <v>1026</v>
      </c>
      <c r="F888" s="115">
        <f>F889</f>
        <v>435.2</v>
      </c>
      <c r="G888" s="115">
        <f t="shared" si="110"/>
        <v>0</v>
      </c>
      <c r="H888" s="115">
        <f t="shared" si="110"/>
        <v>520.2</v>
      </c>
      <c r="I888" s="115">
        <f t="shared" si="110"/>
        <v>519.35</v>
      </c>
      <c r="J888" s="167">
        <f t="shared" si="106"/>
        <v>0.9983660130718954</v>
      </c>
      <c r="K888" s="223"/>
      <c r="L888" s="224"/>
    </row>
    <row r="889" spans="1:12" ht="18.75">
      <c r="A889" s="125"/>
      <c r="B889" s="132"/>
      <c r="C889" s="127"/>
      <c r="D889" s="125" t="s">
        <v>21</v>
      </c>
      <c r="E889" s="124" t="s">
        <v>22</v>
      </c>
      <c r="F889" s="115">
        <v>435.2</v>
      </c>
      <c r="G889" s="115"/>
      <c r="H889" s="115">
        <v>520.2</v>
      </c>
      <c r="I889" s="115">
        <v>519.35</v>
      </c>
      <c r="J889" s="167">
        <f aca="true" t="shared" si="111" ref="J889:J920">I889/H889</f>
        <v>0.9983660130718954</v>
      </c>
      <c r="K889" s="223"/>
      <c r="L889" s="224"/>
    </row>
    <row r="890" spans="1:12" ht="41.25" customHeight="1">
      <c r="A890" s="132"/>
      <c r="B890" s="132"/>
      <c r="C890" s="132" t="s">
        <v>83</v>
      </c>
      <c r="D890" s="132" t="s">
        <v>766</v>
      </c>
      <c r="E890" s="122" t="s">
        <v>84</v>
      </c>
      <c r="F890" s="130">
        <f>F891</f>
        <v>40210.9</v>
      </c>
      <c r="G890" s="130">
        <f aca="true" t="shared" si="112" ref="G890:I892">G891</f>
        <v>0</v>
      </c>
      <c r="H890" s="130">
        <f t="shared" si="112"/>
        <v>40490.9</v>
      </c>
      <c r="I890" s="130">
        <f t="shared" si="112"/>
        <v>40490.9</v>
      </c>
      <c r="J890" s="166">
        <f t="shared" si="111"/>
        <v>1</v>
      </c>
      <c r="K890" s="223"/>
      <c r="L890" s="224"/>
    </row>
    <row r="891" spans="1:12" ht="37.5">
      <c r="A891" s="132"/>
      <c r="B891" s="132"/>
      <c r="C891" s="132" t="s">
        <v>85</v>
      </c>
      <c r="D891" s="132"/>
      <c r="E891" s="122" t="s">
        <v>42</v>
      </c>
      <c r="F891" s="130">
        <f>F892</f>
        <v>40210.9</v>
      </c>
      <c r="G891" s="130">
        <f t="shared" si="112"/>
        <v>0</v>
      </c>
      <c r="H891" s="130">
        <f t="shared" si="112"/>
        <v>40490.9</v>
      </c>
      <c r="I891" s="130">
        <f t="shared" si="112"/>
        <v>40490.9</v>
      </c>
      <c r="J891" s="166">
        <f t="shared" si="111"/>
        <v>1</v>
      </c>
      <c r="K891" s="223"/>
      <c r="L891" s="224"/>
    </row>
    <row r="892" spans="1:12" ht="23.25" customHeight="1">
      <c r="A892" s="132"/>
      <c r="B892" s="125"/>
      <c r="C892" s="125" t="s">
        <v>87</v>
      </c>
      <c r="D892" s="125" t="s">
        <v>766</v>
      </c>
      <c r="E892" s="123" t="s">
        <v>52</v>
      </c>
      <c r="F892" s="115">
        <f>F893</f>
        <v>40210.9</v>
      </c>
      <c r="G892" s="115">
        <f t="shared" si="112"/>
        <v>0</v>
      </c>
      <c r="H892" s="115">
        <f t="shared" si="112"/>
        <v>40490.9</v>
      </c>
      <c r="I892" s="115">
        <f t="shared" si="112"/>
        <v>40490.9</v>
      </c>
      <c r="J892" s="167">
        <f t="shared" si="111"/>
        <v>1</v>
      </c>
      <c r="K892" s="223"/>
      <c r="L892" s="224"/>
    </row>
    <row r="893" spans="1:12" ht="18.75">
      <c r="A893" s="125"/>
      <c r="B893" s="132"/>
      <c r="C893" s="125"/>
      <c r="D893" s="125" t="s">
        <v>21</v>
      </c>
      <c r="E893" s="124" t="s">
        <v>22</v>
      </c>
      <c r="F893" s="115">
        <v>40210.9</v>
      </c>
      <c r="G893" s="115"/>
      <c r="H893" s="115">
        <v>40490.9</v>
      </c>
      <c r="I893" s="115">
        <v>40490.9</v>
      </c>
      <c r="J893" s="167">
        <f t="shared" si="111"/>
        <v>1</v>
      </c>
      <c r="K893" s="223"/>
      <c r="L893" s="224"/>
    </row>
    <row r="894" spans="1:12" ht="41.25" customHeight="1">
      <c r="A894" s="132"/>
      <c r="B894" s="132"/>
      <c r="C894" s="132" t="s">
        <v>102</v>
      </c>
      <c r="D894" s="132" t="s">
        <v>766</v>
      </c>
      <c r="E894" s="122" t="s">
        <v>770</v>
      </c>
      <c r="F894" s="130">
        <f aca="true" t="shared" si="113" ref="F894:I895">F895</f>
        <v>468.6</v>
      </c>
      <c r="G894" s="130">
        <f t="shared" si="113"/>
        <v>0</v>
      </c>
      <c r="H894" s="130">
        <f t="shared" si="113"/>
        <v>468.6</v>
      </c>
      <c r="I894" s="130">
        <f t="shared" si="113"/>
        <v>468.6</v>
      </c>
      <c r="J894" s="166">
        <f t="shared" si="111"/>
        <v>1</v>
      </c>
      <c r="K894" s="223"/>
      <c r="L894" s="224"/>
    </row>
    <row r="895" spans="1:12" ht="18.75">
      <c r="A895" s="132"/>
      <c r="B895" s="132"/>
      <c r="C895" s="132" t="s">
        <v>103</v>
      </c>
      <c r="D895" s="132" t="s">
        <v>766</v>
      </c>
      <c r="E895" s="122" t="s">
        <v>353</v>
      </c>
      <c r="F895" s="130">
        <f t="shared" si="113"/>
        <v>468.6</v>
      </c>
      <c r="G895" s="130">
        <f t="shared" si="113"/>
        <v>0</v>
      </c>
      <c r="H895" s="130">
        <f t="shared" si="113"/>
        <v>468.6</v>
      </c>
      <c r="I895" s="130">
        <f t="shared" si="113"/>
        <v>468.6</v>
      </c>
      <c r="J895" s="166">
        <f t="shared" si="111"/>
        <v>1</v>
      </c>
      <c r="K895" s="223"/>
      <c r="L895" s="224"/>
    </row>
    <row r="896" spans="1:12" ht="18.75">
      <c r="A896" s="132"/>
      <c r="B896" s="132"/>
      <c r="C896" s="132" t="s">
        <v>431</v>
      </c>
      <c r="D896" s="132"/>
      <c r="E896" s="122" t="s">
        <v>915</v>
      </c>
      <c r="F896" s="130">
        <f>F897+F899</f>
        <v>468.6</v>
      </c>
      <c r="G896" s="130">
        <f>G897+G899</f>
        <v>0</v>
      </c>
      <c r="H896" s="130">
        <f>H897+H899</f>
        <v>468.6</v>
      </c>
      <c r="I896" s="130">
        <f>I897+I899</f>
        <v>468.6</v>
      </c>
      <c r="J896" s="166">
        <f t="shared" si="111"/>
        <v>1</v>
      </c>
      <c r="K896" s="223"/>
      <c r="L896" s="224"/>
    </row>
    <row r="897" spans="1:12" ht="18.75">
      <c r="A897" s="132"/>
      <c r="B897" s="132"/>
      <c r="C897" s="125" t="s">
        <v>448</v>
      </c>
      <c r="D897" s="125" t="s">
        <v>766</v>
      </c>
      <c r="E897" s="123" t="s">
        <v>447</v>
      </c>
      <c r="F897" s="115">
        <f>F898</f>
        <v>133.6</v>
      </c>
      <c r="G897" s="115">
        <f>G898</f>
        <v>0</v>
      </c>
      <c r="H897" s="115">
        <f>H898</f>
        <v>133.6</v>
      </c>
      <c r="I897" s="115">
        <f>I898</f>
        <v>133.6</v>
      </c>
      <c r="J897" s="167">
        <f t="shared" si="111"/>
        <v>1</v>
      </c>
      <c r="K897" s="223"/>
      <c r="L897" s="224"/>
    </row>
    <row r="898" spans="1:12" ht="18.75">
      <c r="A898" s="132"/>
      <c r="B898" s="132"/>
      <c r="C898" s="132"/>
      <c r="D898" s="125" t="s">
        <v>21</v>
      </c>
      <c r="E898" s="124" t="s">
        <v>22</v>
      </c>
      <c r="F898" s="115">
        <v>133.6</v>
      </c>
      <c r="G898" s="115"/>
      <c r="H898" s="115">
        <f>SUM(F898:G898)</f>
        <v>133.6</v>
      </c>
      <c r="I898" s="115">
        <v>133.6</v>
      </c>
      <c r="J898" s="167">
        <f t="shared" si="111"/>
        <v>1</v>
      </c>
      <c r="K898" s="223"/>
      <c r="L898" s="224"/>
    </row>
    <row r="899" spans="1:12" ht="23.25" customHeight="1">
      <c r="A899" s="132"/>
      <c r="B899" s="132"/>
      <c r="C899" s="125" t="s">
        <v>813</v>
      </c>
      <c r="D899" s="125" t="s">
        <v>766</v>
      </c>
      <c r="E899" s="123" t="s">
        <v>1027</v>
      </c>
      <c r="F899" s="115">
        <f>F900</f>
        <v>335</v>
      </c>
      <c r="G899" s="115">
        <f>G900</f>
        <v>0</v>
      </c>
      <c r="H899" s="115">
        <f>H900</f>
        <v>335</v>
      </c>
      <c r="I899" s="115">
        <f>I900</f>
        <v>335</v>
      </c>
      <c r="J899" s="167">
        <f t="shared" si="111"/>
        <v>1</v>
      </c>
      <c r="K899" s="223"/>
      <c r="L899" s="224"/>
    </row>
    <row r="900" spans="1:12" ht="18.75">
      <c r="A900" s="125"/>
      <c r="B900" s="125"/>
      <c r="C900" s="125"/>
      <c r="D900" s="125" t="s">
        <v>21</v>
      </c>
      <c r="E900" s="124" t="s">
        <v>22</v>
      </c>
      <c r="F900" s="115">
        <v>335</v>
      </c>
      <c r="G900" s="115"/>
      <c r="H900" s="115">
        <f>SUM(F900:G900)</f>
        <v>335</v>
      </c>
      <c r="I900" s="115">
        <v>335</v>
      </c>
      <c r="J900" s="167">
        <f t="shared" si="111"/>
        <v>1</v>
      </c>
      <c r="K900" s="223"/>
      <c r="L900" s="224"/>
    </row>
    <row r="901" spans="1:12" ht="18.75">
      <c r="A901" s="125"/>
      <c r="B901" s="116" t="s">
        <v>397</v>
      </c>
      <c r="C901" s="117"/>
      <c r="D901" s="117"/>
      <c r="E901" s="118" t="s">
        <v>398</v>
      </c>
      <c r="F901" s="130">
        <f>F902</f>
        <v>1355.2</v>
      </c>
      <c r="G901" s="130">
        <f>G902</f>
        <v>0</v>
      </c>
      <c r="H901" s="130">
        <f>H902</f>
        <v>1744.1</v>
      </c>
      <c r="I901" s="130">
        <f>I902</f>
        <v>1744.1</v>
      </c>
      <c r="J901" s="166">
        <f t="shared" si="111"/>
        <v>1</v>
      </c>
      <c r="K901" s="223"/>
      <c r="L901" s="224"/>
    </row>
    <row r="902" spans="1:12" ht="37.5">
      <c r="A902" s="132"/>
      <c r="B902" s="132"/>
      <c r="C902" s="132" t="s">
        <v>64</v>
      </c>
      <c r="D902" s="132" t="s">
        <v>766</v>
      </c>
      <c r="E902" s="122" t="s">
        <v>434</v>
      </c>
      <c r="F902" s="130">
        <f>F903+F909</f>
        <v>1355.2</v>
      </c>
      <c r="G902" s="130">
        <f>G903+G909</f>
        <v>0</v>
      </c>
      <c r="H902" s="130">
        <f>H903+H909</f>
        <v>1744.1</v>
      </c>
      <c r="I902" s="130">
        <f>I903+I909</f>
        <v>1744.1</v>
      </c>
      <c r="J902" s="166">
        <f t="shared" si="111"/>
        <v>1</v>
      </c>
      <c r="K902" s="223"/>
      <c r="L902" s="224"/>
    </row>
    <row r="903" spans="1:12" ht="18.75">
      <c r="A903" s="132"/>
      <c r="B903" s="132"/>
      <c r="C903" s="132" t="s">
        <v>402</v>
      </c>
      <c r="D903" s="132" t="s">
        <v>766</v>
      </c>
      <c r="E903" s="122" t="s">
        <v>80</v>
      </c>
      <c r="F903" s="130">
        <f>F904</f>
        <v>500</v>
      </c>
      <c r="G903" s="130">
        <f aca="true" t="shared" si="114" ref="G903:I904">G904</f>
        <v>0</v>
      </c>
      <c r="H903" s="130">
        <f t="shared" si="114"/>
        <v>738.1</v>
      </c>
      <c r="I903" s="130">
        <f t="shared" si="114"/>
        <v>738.1</v>
      </c>
      <c r="J903" s="166">
        <f t="shared" si="111"/>
        <v>1</v>
      </c>
      <c r="K903" s="223"/>
      <c r="L903" s="224"/>
    </row>
    <row r="904" spans="1:12" ht="37.5">
      <c r="A904" s="132"/>
      <c r="B904" s="132"/>
      <c r="C904" s="132" t="s">
        <v>79</v>
      </c>
      <c r="D904" s="132"/>
      <c r="E904" s="122" t="s">
        <v>81</v>
      </c>
      <c r="F904" s="130">
        <f>F905</f>
        <v>500</v>
      </c>
      <c r="G904" s="130">
        <f t="shared" si="114"/>
        <v>0</v>
      </c>
      <c r="H904" s="130">
        <f t="shared" si="114"/>
        <v>738.1</v>
      </c>
      <c r="I904" s="130">
        <f t="shared" si="114"/>
        <v>738.1</v>
      </c>
      <c r="J904" s="166">
        <f t="shared" si="111"/>
        <v>1</v>
      </c>
      <c r="K904" s="223"/>
      <c r="L904" s="224"/>
    </row>
    <row r="905" spans="1:12" ht="18.75">
      <c r="A905" s="132"/>
      <c r="B905" s="132"/>
      <c r="C905" s="125" t="s">
        <v>82</v>
      </c>
      <c r="D905" s="125" t="s">
        <v>766</v>
      </c>
      <c r="E905" s="123" t="s">
        <v>820</v>
      </c>
      <c r="F905" s="115">
        <f>F907</f>
        <v>500</v>
      </c>
      <c r="G905" s="115">
        <f>G907</f>
        <v>0</v>
      </c>
      <c r="H905" s="115">
        <f>H907+H906+H908</f>
        <v>738.1</v>
      </c>
      <c r="I905" s="115">
        <f>I907+I906+I908</f>
        <v>738.1</v>
      </c>
      <c r="J905" s="167">
        <f t="shared" si="111"/>
        <v>1</v>
      </c>
      <c r="K905" s="223"/>
      <c r="L905" s="224"/>
    </row>
    <row r="906" spans="1:12" ht="37.5">
      <c r="A906" s="132"/>
      <c r="B906" s="132"/>
      <c r="C906" s="125"/>
      <c r="D906" s="125" t="s">
        <v>46</v>
      </c>
      <c r="E906" s="124" t="s">
        <v>47</v>
      </c>
      <c r="F906" s="115"/>
      <c r="G906" s="115"/>
      <c r="H906" s="115">
        <v>11.3</v>
      </c>
      <c r="I906" s="115">
        <v>11.3</v>
      </c>
      <c r="J906" s="167">
        <f t="shared" si="111"/>
        <v>1</v>
      </c>
      <c r="K906" s="223"/>
      <c r="L906" s="224"/>
    </row>
    <row r="907" spans="1:12" ht="18.75">
      <c r="A907" s="125"/>
      <c r="B907" s="125"/>
      <c r="C907" s="125"/>
      <c r="D907" s="125" t="s">
        <v>27</v>
      </c>
      <c r="E907" s="124" t="s">
        <v>28</v>
      </c>
      <c r="F907" s="115">
        <v>500</v>
      </c>
      <c r="G907" s="115"/>
      <c r="H907" s="115">
        <v>438.7</v>
      </c>
      <c r="I907" s="115">
        <v>438.7</v>
      </c>
      <c r="J907" s="167">
        <f t="shared" si="111"/>
        <v>1</v>
      </c>
      <c r="K907" s="223"/>
      <c r="L907" s="224"/>
    </row>
    <row r="908" spans="1:12" ht="18.75">
      <c r="A908" s="125"/>
      <c r="B908" s="125"/>
      <c r="C908" s="125"/>
      <c r="D908" s="125" t="s">
        <v>21</v>
      </c>
      <c r="E908" s="124" t="s">
        <v>22</v>
      </c>
      <c r="F908" s="115"/>
      <c r="G908" s="115"/>
      <c r="H908" s="115">
        <v>288.1</v>
      </c>
      <c r="I908" s="115">
        <v>288.1</v>
      </c>
      <c r="J908" s="167">
        <f t="shared" si="111"/>
        <v>1</v>
      </c>
      <c r="K908" s="223"/>
      <c r="L908" s="224"/>
    </row>
    <row r="909" spans="1:12" ht="40.5" customHeight="1">
      <c r="A909" s="132"/>
      <c r="B909" s="132"/>
      <c r="C909" s="132" t="s">
        <v>83</v>
      </c>
      <c r="D909" s="132" t="s">
        <v>766</v>
      </c>
      <c r="E909" s="122" t="s">
        <v>84</v>
      </c>
      <c r="F909" s="130">
        <f>F910</f>
        <v>855.2</v>
      </c>
      <c r="G909" s="130">
        <f aca="true" t="shared" si="115" ref="G909:I911">G910</f>
        <v>0</v>
      </c>
      <c r="H909" s="130">
        <f t="shared" si="115"/>
        <v>1006</v>
      </c>
      <c r="I909" s="130">
        <f t="shared" si="115"/>
        <v>1006</v>
      </c>
      <c r="J909" s="166">
        <f t="shared" si="111"/>
        <v>1</v>
      </c>
      <c r="K909" s="223"/>
      <c r="L909" s="224"/>
    </row>
    <row r="910" spans="1:12" ht="37.5">
      <c r="A910" s="132"/>
      <c r="B910" s="132"/>
      <c r="C910" s="132" t="s">
        <v>85</v>
      </c>
      <c r="D910" s="132"/>
      <c r="E910" s="122" t="s">
        <v>42</v>
      </c>
      <c r="F910" s="130">
        <f>F911</f>
        <v>855.2</v>
      </c>
      <c r="G910" s="130">
        <f t="shared" si="115"/>
        <v>0</v>
      </c>
      <c r="H910" s="130">
        <f t="shared" si="115"/>
        <v>1006</v>
      </c>
      <c r="I910" s="130">
        <f t="shared" si="115"/>
        <v>1006</v>
      </c>
      <c r="J910" s="166">
        <f t="shared" si="111"/>
        <v>1</v>
      </c>
      <c r="K910" s="223"/>
      <c r="L910" s="224"/>
    </row>
    <row r="911" spans="1:12" ht="18.75">
      <c r="A911" s="132"/>
      <c r="B911" s="132"/>
      <c r="C911" s="125" t="s">
        <v>88</v>
      </c>
      <c r="D911" s="125" t="s">
        <v>766</v>
      </c>
      <c r="E911" s="123" t="s">
        <v>89</v>
      </c>
      <c r="F911" s="115">
        <f>F912</f>
        <v>855.2</v>
      </c>
      <c r="G911" s="115">
        <f t="shared" si="115"/>
        <v>0</v>
      </c>
      <c r="H911" s="115">
        <f t="shared" si="115"/>
        <v>1006</v>
      </c>
      <c r="I911" s="115">
        <f t="shared" si="115"/>
        <v>1006</v>
      </c>
      <c r="J911" s="167">
        <f t="shared" si="111"/>
        <v>1</v>
      </c>
      <c r="K911" s="223"/>
      <c r="L911" s="224"/>
    </row>
    <row r="912" spans="1:12" ht="18.75">
      <c r="A912" s="125"/>
      <c r="B912" s="125"/>
      <c r="C912" s="125"/>
      <c r="D912" s="125" t="s">
        <v>21</v>
      </c>
      <c r="E912" s="124" t="s">
        <v>22</v>
      </c>
      <c r="F912" s="115">
        <v>855.2</v>
      </c>
      <c r="G912" s="115"/>
      <c r="H912" s="115">
        <v>1006</v>
      </c>
      <c r="I912" s="115">
        <v>1006</v>
      </c>
      <c r="J912" s="167">
        <f t="shared" si="111"/>
        <v>1</v>
      </c>
      <c r="K912" s="223"/>
      <c r="L912" s="224"/>
    </row>
    <row r="913" spans="1:12" ht="18.75">
      <c r="A913" s="125"/>
      <c r="B913" s="117" t="s">
        <v>380</v>
      </c>
      <c r="C913" s="117"/>
      <c r="D913" s="117"/>
      <c r="E913" s="118" t="s">
        <v>443</v>
      </c>
      <c r="F913" s="130">
        <f>F914+F948</f>
        <v>95701.6</v>
      </c>
      <c r="G913" s="130">
        <f>G914+G948</f>
        <v>0</v>
      </c>
      <c r="H913" s="130">
        <f>H914+H948</f>
        <v>102960.4</v>
      </c>
      <c r="I913" s="130">
        <f>I914+I948</f>
        <v>102135.4</v>
      </c>
      <c r="J913" s="166">
        <f t="shared" si="111"/>
        <v>0.9919872106168973</v>
      </c>
      <c r="K913" s="223"/>
      <c r="L913" s="224"/>
    </row>
    <row r="914" spans="1:12" ht="18.75">
      <c r="A914" s="125"/>
      <c r="B914" s="117" t="s">
        <v>403</v>
      </c>
      <c r="C914" s="117"/>
      <c r="D914" s="117"/>
      <c r="E914" s="118" t="s">
        <v>404</v>
      </c>
      <c r="F914" s="130">
        <f>F936+F915</f>
        <v>67788</v>
      </c>
      <c r="G914" s="130">
        <f>G936+G915</f>
        <v>0</v>
      </c>
      <c r="H914" s="130">
        <f>H936+H915</f>
        <v>74066.9</v>
      </c>
      <c r="I914" s="130">
        <f>I936+I915</f>
        <v>74058.9</v>
      </c>
      <c r="J914" s="166">
        <f t="shared" si="111"/>
        <v>0.9998919895391869</v>
      </c>
      <c r="K914" s="223"/>
      <c r="L914" s="224"/>
    </row>
    <row r="915" spans="1:12" ht="37.5">
      <c r="A915" s="132"/>
      <c r="B915" s="132"/>
      <c r="C915" s="132" t="s">
        <v>64</v>
      </c>
      <c r="D915" s="132" t="s">
        <v>766</v>
      </c>
      <c r="E915" s="122" t="s">
        <v>434</v>
      </c>
      <c r="F915" s="130">
        <f>F916+F922</f>
        <v>66929.7</v>
      </c>
      <c r="G915" s="130">
        <f>G916+G922</f>
        <v>0</v>
      </c>
      <c r="H915" s="130">
        <f>H916+H922</f>
        <v>73007.29999999999</v>
      </c>
      <c r="I915" s="130">
        <f>I916+I922</f>
        <v>73002.29999999999</v>
      </c>
      <c r="J915" s="166">
        <f t="shared" si="111"/>
        <v>0.9999315136979453</v>
      </c>
      <c r="K915" s="223"/>
      <c r="L915" s="224"/>
    </row>
    <row r="916" spans="1:12" ht="18.75">
      <c r="A916" s="132"/>
      <c r="B916" s="132"/>
      <c r="C916" s="117" t="s">
        <v>66</v>
      </c>
      <c r="D916" s="127"/>
      <c r="E916" s="135" t="s">
        <v>67</v>
      </c>
      <c r="F916" s="130">
        <f>F917</f>
        <v>1885</v>
      </c>
      <c r="G916" s="130">
        <f>G917</f>
        <v>0</v>
      </c>
      <c r="H916" s="130">
        <f>H917</f>
        <v>3392.9</v>
      </c>
      <c r="I916" s="130">
        <f>I917</f>
        <v>3387.9</v>
      </c>
      <c r="J916" s="166">
        <f t="shared" si="111"/>
        <v>0.998526334404197</v>
      </c>
      <c r="K916" s="223"/>
      <c r="L916" s="224"/>
    </row>
    <row r="917" spans="1:12" ht="18.75">
      <c r="A917" s="132"/>
      <c r="B917" s="132"/>
      <c r="C917" s="117" t="s">
        <v>68</v>
      </c>
      <c r="D917" s="127"/>
      <c r="E917" s="135" t="s">
        <v>69</v>
      </c>
      <c r="F917" s="130">
        <f>F918+F920</f>
        <v>1885</v>
      </c>
      <c r="G917" s="130">
        <f>G918+G920</f>
        <v>0</v>
      </c>
      <c r="H917" s="130">
        <f>H918+H920</f>
        <v>3392.9</v>
      </c>
      <c r="I917" s="130">
        <f>I918+I920</f>
        <v>3387.9</v>
      </c>
      <c r="J917" s="166">
        <f t="shared" si="111"/>
        <v>0.998526334404197</v>
      </c>
      <c r="K917" s="223"/>
      <c r="L917" s="224"/>
    </row>
    <row r="918" spans="1:12" ht="18.75">
      <c r="A918" s="132"/>
      <c r="B918" s="132"/>
      <c r="C918" s="127" t="s">
        <v>70</v>
      </c>
      <c r="D918" s="125"/>
      <c r="E918" s="124" t="s">
        <v>1026</v>
      </c>
      <c r="F918" s="115">
        <f>F919</f>
        <v>1875.2</v>
      </c>
      <c r="G918" s="115">
        <f>G919</f>
        <v>0</v>
      </c>
      <c r="H918" s="115">
        <f>H919</f>
        <v>3383.1</v>
      </c>
      <c r="I918" s="115">
        <f>I919</f>
        <v>3378.1</v>
      </c>
      <c r="J918" s="167">
        <f t="shared" si="111"/>
        <v>0.9985220655611717</v>
      </c>
      <c r="K918" s="223"/>
      <c r="L918" s="224"/>
    </row>
    <row r="919" spans="1:12" ht="18.75">
      <c r="A919" s="125"/>
      <c r="B919" s="125"/>
      <c r="C919" s="125"/>
      <c r="D919" s="125" t="s">
        <v>21</v>
      </c>
      <c r="E919" s="124" t="s">
        <v>22</v>
      </c>
      <c r="F919" s="115">
        <v>1875.2</v>
      </c>
      <c r="G919" s="115"/>
      <c r="H919" s="115">
        <v>3383.1</v>
      </c>
      <c r="I919" s="115">
        <v>3378.1</v>
      </c>
      <c r="J919" s="167">
        <f t="shared" si="111"/>
        <v>0.9985220655611717</v>
      </c>
      <c r="K919" s="223"/>
      <c r="L919" s="224"/>
    </row>
    <row r="920" spans="1:12" ht="18.75">
      <c r="A920" s="132"/>
      <c r="B920" s="132"/>
      <c r="C920" s="127" t="s">
        <v>427</v>
      </c>
      <c r="D920" s="125"/>
      <c r="E920" s="123" t="s">
        <v>1028</v>
      </c>
      <c r="F920" s="115">
        <f>F921</f>
        <v>9.8</v>
      </c>
      <c r="G920" s="115">
        <f>G921</f>
        <v>0</v>
      </c>
      <c r="H920" s="115">
        <f>H921</f>
        <v>9.8</v>
      </c>
      <c r="I920" s="115">
        <f>I921</f>
        <v>9.8</v>
      </c>
      <c r="J920" s="167">
        <f t="shared" si="111"/>
        <v>1</v>
      </c>
      <c r="K920" s="223"/>
      <c r="L920" s="224"/>
    </row>
    <row r="921" spans="1:12" ht="18.75">
      <c r="A921" s="125"/>
      <c r="B921" s="125"/>
      <c r="C921" s="127"/>
      <c r="D921" s="125" t="s">
        <v>21</v>
      </c>
      <c r="E921" s="124" t="s">
        <v>22</v>
      </c>
      <c r="F921" s="115">
        <v>9.8</v>
      </c>
      <c r="G921" s="115"/>
      <c r="H921" s="115">
        <f>SUM(F921:G921)</f>
        <v>9.8</v>
      </c>
      <c r="I921" s="115">
        <v>9.8</v>
      </c>
      <c r="J921" s="167">
        <f aca="true" t="shared" si="116" ref="J921:J952">I921/H921</f>
        <v>1</v>
      </c>
      <c r="K921" s="223"/>
      <c r="L921" s="224"/>
    </row>
    <row r="922" spans="1:12" ht="39" customHeight="1">
      <c r="A922" s="132"/>
      <c r="B922" s="132"/>
      <c r="C922" s="132" t="s">
        <v>83</v>
      </c>
      <c r="D922" s="132" t="s">
        <v>766</v>
      </c>
      <c r="E922" s="122" t="s">
        <v>84</v>
      </c>
      <c r="F922" s="130">
        <f>F923</f>
        <v>65044.7</v>
      </c>
      <c r="G922" s="130">
        <f>G923</f>
        <v>0</v>
      </c>
      <c r="H922" s="130">
        <f>H923</f>
        <v>69614.4</v>
      </c>
      <c r="I922" s="130">
        <f>I923</f>
        <v>69614.4</v>
      </c>
      <c r="J922" s="166">
        <f t="shared" si="116"/>
        <v>1</v>
      </c>
      <c r="K922" s="223"/>
      <c r="L922" s="224"/>
    </row>
    <row r="923" spans="1:12" ht="37.5">
      <c r="A923" s="132"/>
      <c r="B923" s="132"/>
      <c r="C923" s="132" t="s">
        <v>85</v>
      </c>
      <c r="D923" s="132"/>
      <c r="E923" s="122" t="s">
        <v>42</v>
      </c>
      <c r="F923" s="130">
        <f>F924+F926+F928+F932+F930</f>
        <v>65044.7</v>
      </c>
      <c r="G923" s="130">
        <f>G924+G926+G928+G932+G930</f>
        <v>0</v>
      </c>
      <c r="H923" s="130">
        <f>H924+H926+H928+H932+H930+H934</f>
        <v>69614.4</v>
      </c>
      <c r="I923" s="130">
        <f>I924+I926+I928+I932+I930+I934</f>
        <v>69614.4</v>
      </c>
      <c r="J923" s="166">
        <f t="shared" si="116"/>
        <v>1</v>
      </c>
      <c r="K923" s="223"/>
      <c r="L923" s="224"/>
    </row>
    <row r="924" spans="1:12" ht="18.75">
      <c r="A924" s="132"/>
      <c r="B924" s="132"/>
      <c r="C924" s="125" t="s">
        <v>90</v>
      </c>
      <c r="D924" s="125" t="s">
        <v>766</v>
      </c>
      <c r="E924" s="123" t="s">
        <v>91</v>
      </c>
      <c r="F924" s="115">
        <f>F925</f>
        <v>11869.3</v>
      </c>
      <c r="G924" s="115">
        <f>G925</f>
        <v>0</v>
      </c>
      <c r="H924" s="115">
        <f>H925</f>
        <v>12944.3</v>
      </c>
      <c r="I924" s="115">
        <f>I925</f>
        <v>12944.3</v>
      </c>
      <c r="J924" s="167">
        <f t="shared" si="116"/>
        <v>1</v>
      </c>
      <c r="K924" s="223"/>
      <c r="L924" s="224"/>
    </row>
    <row r="925" spans="1:12" ht="18.75">
      <c r="A925" s="125"/>
      <c r="B925" s="125"/>
      <c r="C925" s="125"/>
      <c r="D925" s="125" t="s">
        <v>21</v>
      </c>
      <c r="E925" s="124" t="s">
        <v>22</v>
      </c>
      <c r="F925" s="115">
        <v>11869.3</v>
      </c>
      <c r="G925" s="115"/>
      <c r="H925" s="115">
        <v>12944.3</v>
      </c>
      <c r="I925" s="115">
        <v>12944.3</v>
      </c>
      <c r="J925" s="167">
        <f t="shared" si="116"/>
        <v>1</v>
      </c>
      <c r="K925" s="223"/>
      <c r="L925" s="224"/>
    </row>
    <row r="926" spans="1:12" ht="18.75">
      <c r="A926" s="132"/>
      <c r="B926" s="132"/>
      <c r="C926" s="125" t="s">
        <v>92</v>
      </c>
      <c r="D926" s="125" t="s">
        <v>766</v>
      </c>
      <c r="E926" s="123" t="s">
        <v>821</v>
      </c>
      <c r="F926" s="115">
        <f>F927</f>
        <v>24043.1</v>
      </c>
      <c r="G926" s="115">
        <f>G927</f>
        <v>0</v>
      </c>
      <c r="H926" s="115">
        <f>H927</f>
        <v>25050.6</v>
      </c>
      <c r="I926" s="115">
        <f>I927</f>
        <v>25050.6</v>
      </c>
      <c r="J926" s="167">
        <f t="shared" si="116"/>
        <v>1</v>
      </c>
      <c r="K926" s="223"/>
      <c r="L926" s="224"/>
    </row>
    <row r="927" spans="1:12" ht="18.75">
      <c r="A927" s="125"/>
      <c r="B927" s="125"/>
      <c r="C927" s="125"/>
      <c r="D927" s="125" t="s">
        <v>21</v>
      </c>
      <c r="E927" s="124" t="s">
        <v>22</v>
      </c>
      <c r="F927" s="115">
        <v>24043.1</v>
      </c>
      <c r="G927" s="115"/>
      <c r="H927" s="115">
        <v>25050.6</v>
      </c>
      <c r="I927" s="115">
        <v>25050.6</v>
      </c>
      <c r="J927" s="167">
        <f t="shared" si="116"/>
        <v>1</v>
      </c>
      <c r="K927" s="223"/>
      <c r="L927" s="224"/>
    </row>
    <row r="928" spans="1:12" ht="30" customHeight="1">
      <c r="A928" s="132"/>
      <c r="B928" s="132"/>
      <c r="C928" s="125" t="s">
        <v>93</v>
      </c>
      <c r="D928" s="125" t="s">
        <v>766</v>
      </c>
      <c r="E928" s="123" t="s">
        <v>822</v>
      </c>
      <c r="F928" s="115">
        <f>F929</f>
        <v>28632.3</v>
      </c>
      <c r="G928" s="115">
        <f>G929</f>
        <v>0</v>
      </c>
      <c r="H928" s="115">
        <f>H929</f>
        <v>31069.5</v>
      </c>
      <c r="I928" s="115">
        <f>I929</f>
        <v>31069.5</v>
      </c>
      <c r="J928" s="167">
        <f t="shared" si="116"/>
        <v>1</v>
      </c>
      <c r="K928" s="223"/>
      <c r="L928" s="224"/>
    </row>
    <row r="929" spans="1:12" ht="18.75">
      <c r="A929" s="125"/>
      <c r="B929" s="125"/>
      <c r="C929" s="125"/>
      <c r="D929" s="125" t="s">
        <v>21</v>
      </c>
      <c r="E929" s="124" t="s">
        <v>22</v>
      </c>
      <c r="F929" s="115">
        <v>28632.3</v>
      </c>
      <c r="G929" s="115"/>
      <c r="H929" s="115">
        <v>31069.5</v>
      </c>
      <c r="I929" s="115">
        <v>31069.5</v>
      </c>
      <c r="J929" s="167">
        <f t="shared" si="116"/>
        <v>1</v>
      </c>
      <c r="K929" s="223"/>
      <c r="L929" s="224"/>
    </row>
    <row r="930" spans="1:12" ht="37.5">
      <c r="A930" s="132"/>
      <c r="B930" s="132"/>
      <c r="C930" s="125" t="s">
        <v>97</v>
      </c>
      <c r="D930" s="125" t="s">
        <v>766</v>
      </c>
      <c r="E930" s="123" t="s">
        <v>98</v>
      </c>
      <c r="F930" s="115">
        <f>F931</f>
        <v>50</v>
      </c>
      <c r="G930" s="115">
        <f>G931</f>
        <v>0</v>
      </c>
      <c r="H930" s="115">
        <f>H931</f>
        <v>50</v>
      </c>
      <c r="I930" s="115">
        <f>I931</f>
        <v>50</v>
      </c>
      <c r="J930" s="167">
        <f t="shared" si="116"/>
        <v>1</v>
      </c>
      <c r="K930" s="223"/>
      <c r="L930" s="224"/>
    </row>
    <row r="931" spans="1:12" ht="18.75">
      <c r="A931" s="125"/>
      <c r="B931" s="125"/>
      <c r="C931" s="125"/>
      <c r="D931" s="125" t="s">
        <v>21</v>
      </c>
      <c r="E931" s="124" t="s">
        <v>22</v>
      </c>
      <c r="F931" s="115">
        <v>50</v>
      </c>
      <c r="G931" s="115"/>
      <c r="H931" s="115">
        <f>SUM(F931:G931)</f>
        <v>50</v>
      </c>
      <c r="I931" s="115">
        <v>50</v>
      </c>
      <c r="J931" s="167">
        <f t="shared" si="116"/>
        <v>1</v>
      </c>
      <c r="K931" s="223"/>
      <c r="L931" s="224"/>
    </row>
    <row r="932" spans="1:12" ht="37.5">
      <c r="A932" s="132"/>
      <c r="B932" s="132"/>
      <c r="C932" s="125" t="s">
        <v>99</v>
      </c>
      <c r="D932" s="125" t="s">
        <v>766</v>
      </c>
      <c r="E932" s="123" t="s">
        <v>100</v>
      </c>
      <c r="F932" s="115">
        <f>F933</f>
        <v>450</v>
      </c>
      <c r="G932" s="115">
        <f>G933</f>
        <v>0</v>
      </c>
      <c r="H932" s="115">
        <f>H933</f>
        <v>450</v>
      </c>
      <c r="I932" s="115">
        <f>I933</f>
        <v>450</v>
      </c>
      <c r="J932" s="167">
        <f t="shared" si="116"/>
        <v>1</v>
      </c>
      <c r="K932" s="223"/>
      <c r="L932" s="224"/>
    </row>
    <row r="933" spans="1:12" ht="18.75">
      <c r="A933" s="125"/>
      <c r="B933" s="125"/>
      <c r="C933" s="125"/>
      <c r="D933" s="125" t="s">
        <v>21</v>
      </c>
      <c r="E933" s="124" t="s">
        <v>22</v>
      </c>
      <c r="F933" s="115">
        <v>450</v>
      </c>
      <c r="G933" s="115"/>
      <c r="H933" s="115">
        <f>SUM(F933:G933)</f>
        <v>450</v>
      </c>
      <c r="I933" s="115">
        <v>450</v>
      </c>
      <c r="J933" s="167">
        <f t="shared" si="116"/>
        <v>1</v>
      </c>
      <c r="K933" s="223"/>
      <c r="L933" s="224"/>
    </row>
    <row r="934" spans="1:12" ht="18.75">
      <c r="A934" s="125"/>
      <c r="B934" s="125"/>
      <c r="C934" s="119" t="s">
        <v>885</v>
      </c>
      <c r="D934" s="119"/>
      <c r="E934" s="120" t="s">
        <v>1029</v>
      </c>
      <c r="F934" s="115"/>
      <c r="G934" s="115"/>
      <c r="H934" s="131">
        <f>H935</f>
        <v>50</v>
      </c>
      <c r="I934" s="131">
        <f>I935</f>
        <v>50</v>
      </c>
      <c r="J934" s="169">
        <f t="shared" si="116"/>
        <v>1</v>
      </c>
      <c r="K934" s="223"/>
      <c r="L934" s="224"/>
    </row>
    <row r="935" spans="1:12" ht="18.75">
      <c r="A935" s="125"/>
      <c r="B935" s="125"/>
      <c r="C935" s="119"/>
      <c r="D935" s="119" t="s">
        <v>21</v>
      </c>
      <c r="E935" s="120" t="s">
        <v>22</v>
      </c>
      <c r="F935" s="115"/>
      <c r="G935" s="115"/>
      <c r="H935" s="131">
        <v>50</v>
      </c>
      <c r="I935" s="131">
        <v>50</v>
      </c>
      <c r="J935" s="169">
        <f t="shared" si="116"/>
        <v>1</v>
      </c>
      <c r="K935" s="223"/>
      <c r="L935" s="224"/>
    </row>
    <row r="936" spans="1:12" ht="40.5" customHeight="1">
      <c r="A936" s="132"/>
      <c r="B936" s="132"/>
      <c r="C936" s="132" t="s">
        <v>102</v>
      </c>
      <c r="D936" s="132" t="s">
        <v>766</v>
      </c>
      <c r="E936" s="122" t="s">
        <v>770</v>
      </c>
      <c r="F936" s="130">
        <f>F937+F945</f>
        <v>858.3</v>
      </c>
      <c r="G936" s="130">
        <f>G937+G945</f>
        <v>0</v>
      </c>
      <c r="H936" s="130">
        <f>H937</f>
        <v>1059.6</v>
      </c>
      <c r="I936" s="130">
        <f>I937</f>
        <v>1056.6</v>
      </c>
      <c r="J936" s="166">
        <f t="shared" si="116"/>
        <v>0.9971687429218573</v>
      </c>
      <c r="K936" s="223"/>
      <c r="L936" s="224"/>
    </row>
    <row r="937" spans="1:12" ht="18.75">
      <c r="A937" s="132"/>
      <c r="B937" s="132"/>
      <c r="C937" s="132" t="s">
        <v>103</v>
      </c>
      <c r="D937" s="132" t="s">
        <v>766</v>
      </c>
      <c r="E937" s="122" t="s">
        <v>353</v>
      </c>
      <c r="F937" s="130">
        <f>F938</f>
        <v>697.3</v>
      </c>
      <c r="G937" s="130">
        <f>G938</f>
        <v>0</v>
      </c>
      <c r="H937" s="130">
        <f>H938+H945</f>
        <v>1059.6</v>
      </c>
      <c r="I937" s="130">
        <f>I938+I945</f>
        <v>1056.6</v>
      </c>
      <c r="J937" s="166">
        <f t="shared" si="116"/>
        <v>0.9971687429218573</v>
      </c>
      <c r="K937" s="223"/>
      <c r="L937" s="224"/>
    </row>
    <row r="938" spans="1:12" ht="18.75">
      <c r="A938" s="132"/>
      <c r="B938" s="132"/>
      <c r="C938" s="132" t="s">
        <v>431</v>
      </c>
      <c r="D938" s="132"/>
      <c r="E938" s="122" t="s">
        <v>915</v>
      </c>
      <c r="F938" s="130">
        <f>F939+F943+F941</f>
        <v>697.3</v>
      </c>
      <c r="G938" s="130">
        <f>G939+G943+G941</f>
        <v>0</v>
      </c>
      <c r="H938" s="130">
        <f>H939+H943+H941</f>
        <v>898.5999999999999</v>
      </c>
      <c r="I938" s="130">
        <f>I939+I943+I941</f>
        <v>898.5999999999999</v>
      </c>
      <c r="J938" s="166">
        <f t="shared" si="116"/>
        <v>1</v>
      </c>
      <c r="K938" s="223"/>
      <c r="L938" s="224"/>
    </row>
    <row r="939" spans="1:12" ht="24" customHeight="1">
      <c r="A939" s="132"/>
      <c r="B939" s="132"/>
      <c r="C939" s="125" t="s">
        <v>430</v>
      </c>
      <c r="D939" s="125" t="s">
        <v>766</v>
      </c>
      <c r="E939" s="123" t="s">
        <v>429</v>
      </c>
      <c r="F939" s="115">
        <f>F940</f>
        <v>432.5</v>
      </c>
      <c r="G939" s="115">
        <f>G940</f>
        <v>0</v>
      </c>
      <c r="H939" s="115">
        <f>H940</f>
        <v>633.8</v>
      </c>
      <c r="I939" s="115">
        <f>I940</f>
        <v>633.8</v>
      </c>
      <c r="J939" s="167">
        <f t="shared" si="116"/>
        <v>1</v>
      </c>
      <c r="K939" s="223"/>
      <c r="L939" s="224"/>
    </row>
    <row r="940" spans="1:12" ht="18.75">
      <c r="A940" s="125"/>
      <c r="B940" s="125"/>
      <c r="C940" s="125"/>
      <c r="D940" s="125" t="s">
        <v>21</v>
      </c>
      <c r="E940" s="124" t="s">
        <v>22</v>
      </c>
      <c r="F940" s="115">
        <f>859-265.5-161</f>
        <v>432.5</v>
      </c>
      <c r="G940" s="115"/>
      <c r="H940" s="115">
        <v>633.8</v>
      </c>
      <c r="I940" s="115">
        <v>633.8</v>
      </c>
      <c r="J940" s="167">
        <f t="shared" si="116"/>
        <v>1</v>
      </c>
      <c r="K940" s="223"/>
      <c r="L940" s="224"/>
    </row>
    <row r="941" spans="1:12" ht="18.75">
      <c r="A941" s="125"/>
      <c r="B941" s="125"/>
      <c r="C941" s="125" t="s">
        <v>448</v>
      </c>
      <c r="D941" s="125" t="s">
        <v>766</v>
      </c>
      <c r="E941" s="123" t="s">
        <v>1030</v>
      </c>
      <c r="F941" s="115">
        <f>F942</f>
        <v>64.29999999999998</v>
      </c>
      <c r="G941" s="115">
        <f>G942</f>
        <v>0</v>
      </c>
      <c r="H941" s="115">
        <f>H942</f>
        <v>64.29999999999998</v>
      </c>
      <c r="I941" s="115">
        <f>I942</f>
        <v>64.3</v>
      </c>
      <c r="J941" s="167">
        <f t="shared" si="116"/>
        <v>1.0000000000000002</v>
      </c>
      <c r="K941" s="223"/>
      <c r="L941" s="224"/>
    </row>
    <row r="942" spans="1:12" ht="18.75">
      <c r="A942" s="125"/>
      <c r="B942" s="125"/>
      <c r="C942" s="132"/>
      <c r="D942" s="125" t="s">
        <v>21</v>
      </c>
      <c r="E942" s="124" t="s">
        <v>22</v>
      </c>
      <c r="F942" s="115">
        <f>132.7-68.4</f>
        <v>64.29999999999998</v>
      </c>
      <c r="G942" s="115"/>
      <c r="H942" s="115">
        <f>SUM(F942:G942)</f>
        <v>64.29999999999998</v>
      </c>
      <c r="I942" s="115">
        <v>64.3</v>
      </c>
      <c r="J942" s="167">
        <f t="shared" si="116"/>
        <v>1.0000000000000002</v>
      </c>
      <c r="K942" s="223"/>
      <c r="L942" s="224"/>
    </row>
    <row r="943" spans="1:12" ht="24" customHeight="1">
      <c r="A943" s="125"/>
      <c r="B943" s="125"/>
      <c r="C943" s="125" t="s">
        <v>813</v>
      </c>
      <c r="D943" s="125" t="s">
        <v>766</v>
      </c>
      <c r="E943" s="123" t="s">
        <v>1027</v>
      </c>
      <c r="F943" s="115">
        <f>F944</f>
        <v>200.5</v>
      </c>
      <c r="G943" s="115">
        <f>G944</f>
        <v>0</v>
      </c>
      <c r="H943" s="115">
        <f>H944</f>
        <v>200.5</v>
      </c>
      <c r="I943" s="115">
        <f>I944</f>
        <v>200.5</v>
      </c>
      <c r="J943" s="167">
        <f t="shared" si="116"/>
        <v>1</v>
      </c>
      <c r="K943" s="223"/>
      <c r="L943" s="224"/>
    </row>
    <row r="944" spans="1:12" ht="18.75">
      <c r="A944" s="125"/>
      <c r="B944" s="125"/>
      <c r="C944" s="125"/>
      <c r="D944" s="125" t="s">
        <v>21</v>
      </c>
      <c r="E944" s="124" t="s">
        <v>22</v>
      </c>
      <c r="F944" s="115">
        <f>335.2-134.7</f>
        <v>200.5</v>
      </c>
      <c r="G944" s="115"/>
      <c r="H944" s="115">
        <f>SUM(F944:G944)</f>
        <v>200.5</v>
      </c>
      <c r="I944" s="115">
        <v>200.5</v>
      </c>
      <c r="J944" s="167">
        <f t="shared" si="116"/>
        <v>1</v>
      </c>
      <c r="K944" s="223"/>
      <c r="L944" s="224"/>
    </row>
    <row r="945" spans="1:12" ht="37.5">
      <c r="A945" s="125"/>
      <c r="B945" s="125"/>
      <c r="C945" s="132" t="s">
        <v>1011</v>
      </c>
      <c r="D945" s="132"/>
      <c r="E945" s="122" t="s">
        <v>1031</v>
      </c>
      <c r="F945" s="130">
        <f aca="true" t="shared" si="117" ref="F945:I946">F946</f>
        <v>161</v>
      </c>
      <c r="G945" s="130">
        <f t="shared" si="117"/>
        <v>0</v>
      </c>
      <c r="H945" s="130">
        <f t="shared" si="117"/>
        <v>161</v>
      </c>
      <c r="I945" s="130">
        <f t="shared" si="117"/>
        <v>158</v>
      </c>
      <c r="J945" s="166">
        <f t="shared" si="116"/>
        <v>0.9813664596273292</v>
      </c>
      <c r="K945" s="223"/>
      <c r="L945" s="224"/>
    </row>
    <row r="946" spans="1:12" ht="18.75">
      <c r="A946" s="125"/>
      <c r="B946" s="125"/>
      <c r="C946" s="125" t="s">
        <v>1013</v>
      </c>
      <c r="D946" s="125"/>
      <c r="E946" s="124" t="s">
        <v>1014</v>
      </c>
      <c r="F946" s="115">
        <f t="shared" si="117"/>
        <v>161</v>
      </c>
      <c r="G946" s="115">
        <f t="shared" si="117"/>
        <v>0</v>
      </c>
      <c r="H946" s="115">
        <f t="shared" si="117"/>
        <v>161</v>
      </c>
      <c r="I946" s="115">
        <f t="shared" si="117"/>
        <v>158</v>
      </c>
      <c r="J946" s="167">
        <f t="shared" si="116"/>
        <v>0.9813664596273292</v>
      </c>
      <c r="K946" s="223"/>
      <c r="L946" s="224"/>
    </row>
    <row r="947" spans="1:12" ht="18.75">
      <c r="A947" s="125"/>
      <c r="B947" s="125"/>
      <c r="C947" s="125"/>
      <c r="D947" s="125" t="s">
        <v>21</v>
      </c>
      <c r="E947" s="124" t="s">
        <v>22</v>
      </c>
      <c r="F947" s="115">
        <v>161</v>
      </c>
      <c r="G947" s="115"/>
      <c r="H947" s="115">
        <f>SUM(F947:G947)</f>
        <v>161</v>
      </c>
      <c r="I947" s="115">
        <v>158</v>
      </c>
      <c r="J947" s="167">
        <f t="shared" si="116"/>
        <v>0.9813664596273292</v>
      </c>
      <c r="K947" s="223"/>
      <c r="L947" s="224"/>
    </row>
    <row r="948" spans="1:12" ht="18.75">
      <c r="A948" s="125"/>
      <c r="B948" s="116" t="s">
        <v>381</v>
      </c>
      <c r="C948" s="117"/>
      <c r="D948" s="117"/>
      <c r="E948" s="118" t="s">
        <v>382</v>
      </c>
      <c r="F948" s="130">
        <f>F949+F975</f>
        <v>27913.600000000002</v>
      </c>
      <c r="G948" s="130">
        <f>G949+G975</f>
        <v>0</v>
      </c>
      <c r="H948" s="130">
        <f>H949+H975</f>
        <v>28893.500000000004</v>
      </c>
      <c r="I948" s="130">
        <f>I949+I975</f>
        <v>28076.500000000004</v>
      </c>
      <c r="J948" s="166">
        <f t="shared" si="116"/>
        <v>0.9717237440946925</v>
      </c>
      <c r="K948" s="223"/>
      <c r="L948" s="224"/>
    </row>
    <row r="949" spans="1:12" ht="37.5">
      <c r="A949" s="132"/>
      <c r="B949" s="132"/>
      <c r="C949" s="132" t="s">
        <v>64</v>
      </c>
      <c r="D949" s="132" t="s">
        <v>766</v>
      </c>
      <c r="E949" s="122" t="s">
        <v>434</v>
      </c>
      <c r="F949" s="130">
        <f>F950+F965+F960</f>
        <v>27783.600000000002</v>
      </c>
      <c r="G949" s="130">
        <f>G950+G965+G960</f>
        <v>0</v>
      </c>
      <c r="H949" s="130">
        <f>H950+H965+H960</f>
        <v>28763.500000000004</v>
      </c>
      <c r="I949" s="130">
        <f>I950+I965+I960</f>
        <v>27946.500000000004</v>
      </c>
      <c r="J949" s="166">
        <f t="shared" si="116"/>
        <v>0.9715959462513255</v>
      </c>
      <c r="K949" s="223"/>
      <c r="L949" s="224"/>
    </row>
    <row r="950" spans="1:12" ht="18.75">
      <c r="A950" s="132"/>
      <c r="B950" s="132"/>
      <c r="C950" s="132" t="s">
        <v>66</v>
      </c>
      <c r="D950" s="132" t="s">
        <v>766</v>
      </c>
      <c r="E950" s="122" t="s">
        <v>67</v>
      </c>
      <c r="F950" s="130">
        <f>F951</f>
        <v>3622.2</v>
      </c>
      <c r="G950" s="130">
        <f>G951</f>
        <v>0</v>
      </c>
      <c r="H950" s="130">
        <f>H951</f>
        <v>4122.2</v>
      </c>
      <c r="I950" s="130">
        <f>I951</f>
        <v>4068.3</v>
      </c>
      <c r="J950" s="166">
        <f t="shared" si="116"/>
        <v>0.9869244578137888</v>
      </c>
      <c r="K950" s="223"/>
      <c r="L950" s="224"/>
    </row>
    <row r="951" spans="1:12" ht="18.75">
      <c r="A951" s="132"/>
      <c r="B951" s="132"/>
      <c r="C951" s="132" t="s">
        <v>68</v>
      </c>
      <c r="D951" s="132"/>
      <c r="E951" s="122" t="s">
        <v>69</v>
      </c>
      <c r="F951" s="130">
        <f>F952+F954+F957</f>
        <v>3622.2</v>
      </c>
      <c r="G951" s="130">
        <f>G952+G954+G957</f>
        <v>0</v>
      </c>
      <c r="H951" s="130">
        <f>H952+H954+H957</f>
        <v>4122.2</v>
      </c>
      <c r="I951" s="130">
        <f>I952+I954+I957</f>
        <v>4068.3</v>
      </c>
      <c r="J951" s="166">
        <f t="shared" si="116"/>
        <v>0.9869244578137888</v>
      </c>
      <c r="K951" s="223"/>
      <c r="L951" s="224"/>
    </row>
    <row r="952" spans="1:12" ht="18.75">
      <c r="A952" s="132"/>
      <c r="B952" s="132"/>
      <c r="C952" s="127" t="s">
        <v>70</v>
      </c>
      <c r="D952" s="125"/>
      <c r="E952" s="124" t="s">
        <v>1026</v>
      </c>
      <c r="F952" s="115">
        <f>F953</f>
        <v>337.2</v>
      </c>
      <c r="G952" s="115">
        <f>G953</f>
        <v>0</v>
      </c>
      <c r="H952" s="115">
        <f>H953</f>
        <v>337.2</v>
      </c>
      <c r="I952" s="115">
        <f>I953</f>
        <v>287.4</v>
      </c>
      <c r="J952" s="167">
        <f t="shared" si="116"/>
        <v>0.8523131672597865</v>
      </c>
      <c r="K952" s="223"/>
      <c r="L952" s="224"/>
    </row>
    <row r="953" spans="1:12" ht="18.75">
      <c r="A953" s="132"/>
      <c r="B953" s="132"/>
      <c r="C953" s="125"/>
      <c r="D953" s="125" t="s">
        <v>21</v>
      </c>
      <c r="E953" s="124" t="s">
        <v>22</v>
      </c>
      <c r="F953" s="115">
        <v>337.2</v>
      </c>
      <c r="G953" s="115"/>
      <c r="H953" s="115">
        <f>SUM(F953:G953)</f>
        <v>337.2</v>
      </c>
      <c r="I953" s="115">
        <v>287.4</v>
      </c>
      <c r="J953" s="167">
        <f aca="true" t="shared" si="118" ref="J953:J984">I953/H953</f>
        <v>0.8523131672597865</v>
      </c>
      <c r="K953" s="223"/>
      <c r="L953" s="224"/>
    </row>
    <row r="954" spans="1:12" ht="18.75">
      <c r="A954" s="132"/>
      <c r="B954" s="132"/>
      <c r="C954" s="125" t="s">
        <v>72</v>
      </c>
      <c r="D954" s="125" t="s">
        <v>766</v>
      </c>
      <c r="E954" s="123" t="s">
        <v>823</v>
      </c>
      <c r="F954" s="115">
        <f>F955</f>
        <v>2459.1</v>
      </c>
      <c r="G954" s="115">
        <f>G955</f>
        <v>0</v>
      </c>
      <c r="H954" s="115">
        <f>H955+H956</f>
        <v>2959.1</v>
      </c>
      <c r="I954" s="115">
        <f>I955+I956</f>
        <v>2956.8</v>
      </c>
      <c r="J954" s="167">
        <f t="shared" si="118"/>
        <v>0.9992227366428983</v>
      </c>
      <c r="K954" s="223"/>
      <c r="L954" s="224"/>
    </row>
    <row r="955" spans="1:12" ht="18.75">
      <c r="A955" s="125"/>
      <c r="B955" s="125"/>
      <c r="C955" s="125"/>
      <c r="D955" s="125" t="s">
        <v>27</v>
      </c>
      <c r="E955" s="124" t="s">
        <v>28</v>
      </c>
      <c r="F955" s="115">
        <f>3000-540.9</f>
        <v>2459.1</v>
      </c>
      <c r="G955" s="115"/>
      <c r="H955" s="115">
        <v>1490.6</v>
      </c>
      <c r="I955" s="115">
        <v>1488.3</v>
      </c>
      <c r="J955" s="167">
        <f t="shared" si="118"/>
        <v>0.9984569971823427</v>
      </c>
      <c r="K955" s="223"/>
      <c r="L955" s="224"/>
    </row>
    <row r="956" spans="1:12" ht="18.75">
      <c r="A956" s="125"/>
      <c r="B956" s="125"/>
      <c r="C956" s="125"/>
      <c r="D956" s="125" t="s">
        <v>21</v>
      </c>
      <c r="E956" s="124" t="s">
        <v>22</v>
      </c>
      <c r="F956" s="115"/>
      <c r="G956" s="115"/>
      <c r="H956" s="115">
        <v>1468.5</v>
      </c>
      <c r="I956" s="115">
        <v>1468.5</v>
      </c>
      <c r="J956" s="167">
        <f t="shared" si="118"/>
        <v>1</v>
      </c>
      <c r="K956" s="223"/>
      <c r="L956" s="224"/>
    </row>
    <row r="957" spans="1:12" ht="18.75">
      <c r="A957" s="132"/>
      <c r="B957" s="132"/>
      <c r="C957" s="125" t="s">
        <v>73</v>
      </c>
      <c r="D957" s="125" t="s">
        <v>766</v>
      </c>
      <c r="E957" s="123" t="s">
        <v>74</v>
      </c>
      <c r="F957" s="115">
        <f>F958</f>
        <v>825.9</v>
      </c>
      <c r="G957" s="115">
        <f>G958</f>
        <v>0</v>
      </c>
      <c r="H957" s="115">
        <f>H958+H959</f>
        <v>825.9</v>
      </c>
      <c r="I957" s="115">
        <f>I958+I959</f>
        <v>824.1</v>
      </c>
      <c r="J957" s="167">
        <f t="shared" si="118"/>
        <v>0.9978205593897567</v>
      </c>
      <c r="K957" s="223"/>
      <c r="L957" s="224"/>
    </row>
    <row r="958" spans="1:12" ht="18.75">
      <c r="A958" s="125"/>
      <c r="B958" s="125"/>
      <c r="C958" s="125"/>
      <c r="D958" s="125" t="s">
        <v>27</v>
      </c>
      <c r="E958" s="124" t="s">
        <v>28</v>
      </c>
      <c r="F958" s="115">
        <f>285+540.9</f>
        <v>825.9</v>
      </c>
      <c r="G958" s="115"/>
      <c r="H958" s="115">
        <v>731.9</v>
      </c>
      <c r="I958" s="115">
        <v>730.1</v>
      </c>
      <c r="J958" s="167">
        <f t="shared" si="118"/>
        <v>0.9975406476294576</v>
      </c>
      <c r="K958" s="223"/>
      <c r="L958" s="224"/>
    </row>
    <row r="959" spans="1:12" ht="18.75">
      <c r="A959" s="125"/>
      <c r="B959" s="125"/>
      <c r="C959" s="125"/>
      <c r="D959" s="125" t="s">
        <v>21</v>
      </c>
      <c r="E959" s="124" t="s">
        <v>22</v>
      </c>
      <c r="F959" s="115"/>
      <c r="G959" s="115"/>
      <c r="H959" s="115">
        <v>94</v>
      </c>
      <c r="I959" s="115">
        <v>94</v>
      </c>
      <c r="J959" s="167">
        <f t="shared" si="118"/>
        <v>1</v>
      </c>
      <c r="K959" s="223"/>
      <c r="L959" s="224"/>
    </row>
    <row r="960" spans="1:12" ht="18.75">
      <c r="A960" s="125"/>
      <c r="B960" s="125"/>
      <c r="C960" s="198" t="s">
        <v>1032</v>
      </c>
      <c r="D960" s="199"/>
      <c r="E960" s="200" t="s">
        <v>1033</v>
      </c>
      <c r="F960" s="130">
        <f aca="true" t="shared" si="119" ref="F960:I961">F961</f>
        <v>654</v>
      </c>
      <c r="G960" s="130">
        <f t="shared" si="119"/>
        <v>0</v>
      </c>
      <c r="H960" s="130">
        <f t="shared" si="119"/>
        <v>430.9</v>
      </c>
      <c r="I960" s="130">
        <f t="shared" si="119"/>
        <v>247.89999999999998</v>
      </c>
      <c r="J960" s="166">
        <f t="shared" si="118"/>
        <v>0.5753074959387329</v>
      </c>
      <c r="K960" s="223"/>
      <c r="L960" s="224"/>
    </row>
    <row r="961" spans="1:12" ht="25.5" customHeight="1">
      <c r="A961" s="125"/>
      <c r="B961" s="125"/>
      <c r="C961" s="198" t="s">
        <v>1034</v>
      </c>
      <c r="D961" s="199"/>
      <c r="E961" s="201" t="s">
        <v>1035</v>
      </c>
      <c r="F961" s="130">
        <f t="shared" si="119"/>
        <v>654</v>
      </c>
      <c r="G961" s="130">
        <f t="shared" si="119"/>
        <v>0</v>
      </c>
      <c r="H961" s="130">
        <f t="shared" si="119"/>
        <v>430.9</v>
      </c>
      <c r="I961" s="130">
        <f t="shared" si="119"/>
        <v>247.89999999999998</v>
      </c>
      <c r="J961" s="166">
        <f t="shared" si="118"/>
        <v>0.5753074959387329</v>
      </c>
      <c r="K961" s="223"/>
      <c r="L961" s="224"/>
    </row>
    <row r="962" spans="1:12" ht="37.5">
      <c r="A962" s="125"/>
      <c r="B962" s="125"/>
      <c r="C962" s="174" t="s">
        <v>1036</v>
      </c>
      <c r="D962" s="202"/>
      <c r="E962" s="14" t="s">
        <v>1037</v>
      </c>
      <c r="F962" s="115">
        <f>F964+F963</f>
        <v>654</v>
      </c>
      <c r="G962" s="115">
        <f>G964+G963</f>
        <v>0</v>
      </c>
      <c r="H962" s="115">
        <f>H964+H963</f>
        <v>430.9</v>
      </c>
      <c r="I962" s="115">
        <f>I964+I963</f>
        <v>247.89999999999998</v>
      </c>
      <c r="J962" s="167">
        <f t="shared" si="118"/>
        <v>0.5753074959387329</v>
      </c>
      <c r="K962" s="223"/>
      <c r="L962" s="224"/>
    </row>
    <row r="963" spans="1:12" ht="18.75">
      <c r="A963" s="125"/>
      <c r="B963" s="125"/>
      <c r="C963" s="174"/>
      <c r="D963" s="125" t="s">
        <v>27</v>
      </c>
      <c r="E963" s="124" t="s">
        <v>28</v>
      </c>
      <c r="F963" s="115">
        <v>26.1</v>
      </c>
      <c r="G963" s="115"/>
      <c r="H963" s="115">
        <v>202.3</v>
      </c>
      <c r="I963" s="115">
        <v>41.2</v>
      </c>
      <c r="J963" s="167">
        <f t="shared" si="118"/>
        <v>0.20365793376174</v>
      </c>
      <c r="K963" s="223"/>
      <c r="L963" s="224"/>
    </row>
    <row r="964" spans="1:12" ht="18.75">
      <c r="A964" s="125"/>
      <c r="B964" s="125"/>
      <c r="C964" s="174"/>
      <c r="D964" s="125" t="s">
        <v>21</v>
      </c>
      <c r="E964" s="124" t="s">
        <v>22</v>
      </c>
      <c r="F964" s="115">
        <f>654-26.1</f>
        <v>627.9</v>
      </c>
      <c r="G964" s="115"/>
      <c r="H964" s="115">
        <v>228.6</v>
      </c>
      <c r="I964" s="115">
        <v>206.7</v>
      </c>
      <c r="J964" s="167">
        <f t="shared" si="118"/>
        <v>0.9041994750656168</v>
      </c>
      <c r="K964" s="223"/>
      <c r="L964" s="224"/>
    </row>
    <row r="965" spans="1:12" ht="38.25" customHeight="1">
      <c r="A965" s="132"/>
      <c r="B965" s="132"/>
      <c r="C965" s="132" t="s">
        <v>83</v>
      </c>
      <c r="D965" s="132" t="s">
        <v>766</v>
      </c>
      <c r="E965" s="122" t="s">
        <v>84</v>
      </c>
      <c r="F965" s="130">
        <f>F966</f>
        <v>23507.4</v>
      </c>
      <c r="G965" s="130">
        <f>G966</f>
        <v>0</v>
      </c>
      <c r="H965" s="130">
        <f>H966</f>
        <v>24210.4</v>
      </c>
      <c r="I965" s="130">
        <f>I966</f>
        <v>23630.300000000003</v>
      </c>
      <c r="J965" s="166">
        <f t="shared" si="118"/>
        <v>0.9760392228133364</v>
      </c>
      <c r="K965" s="223"/>
      <c r="L965" s="224"/>
    </row>
    <row r="966" spans="1:12" ht="37.5">
      <c r="A966" s="132"/>
      <c r="B966" s="132"/>
      <c r="C966" s="132" t="s">
        <v>85</v>
      </c>
      <c r="D966" s="132"/>
      <c r="E966" s="122" t="s">
        <v>42</v>
      </c>
      <c r="F966" s="130">
        <f>F967+F971+F973</f>
        <v>23507.4</v>
      </c>
      <c r="G966" s="130">
        <f>G967+G971+G973</f>
        <v>0</v>
      </c>
      <c r="H966" s="130">
        <f>H967+H971+H973</f>
        <v>24210.4</v>
      </c>
      <c r="I966" s="130">
        <f>I967+I971+I973</f>
        <v>23630.300000000003</v>
      </c>
      <c r="J966" s="166">
        <f t="shared" si="118"/>
        <v>0.9760392228133364</v>
      </c>
      <c r="K966" s="223"/>
      <c r="L966" s="224"/>
    </row>
    <row r="967" spans="1:12" ht="18.75">
      <c r="A967" s="132"/>
      <c r="B967" s="132"/>
      <c r="C967" s="125" t="s">
        <v>86</v>
      </c>
      <c r="D967" s="125" t="s">
        <v>766</v>
      </c>
      <c r="E967" s="123" t="s">
        <v>45</v>
      </c>
      <c r="F967" s="115">
        <f>SUM(F968:F970)</f>
        <v>6160.4</v>
      </c>
      <c r="G967" s="115">
        <f>SUM(G968:G970)</f>
        <v>0</v>
      </c>
      <c r="H967" s="115">
        <f>SUM(H968:H970)</f>
        <v>6204.799999999999</v>
      </c>
      <c r="I967" s="115">
        <f>SUM(I968:I970)</f>
        <v>5624.7</v>
      </c>
      <c r="J967" s="167">
        <f t="shared" si="118"/>
        <v>0.9065078648788036</v>
      </c>
      <c r="K967" s="223"/>
      <c r="L967" s="224"/>
    </row>
    <row r="968" spans="1:12" ht="37.5">
      <c r="A968" s="125"/>
      <c r="B968" s="125"/>
      <c r="C968" s="125"/>
      <c r="D968" s="125" t="s">
        <v>46</v>
      </c>
      <c r="E968" s="124" t="s">
        <v>47</v>
      </c>
      <c r="F968" s="115">
        <f>4452.3+24.4+1331</f>
        <v>5807.7</v>
      </c>
      <c r="G968" s="115"/>
      <c r="H968" s="115">
        <v>5835.2</v>
      </c>
      <c r="I968" s="115">
        <v>5267.4</v>
      </c>
      <c r="J968" s="167">
        <f t="shared" si="118"/>
        <v>0.9026939950644365</v>
      </c>
      <c r="K968" s="223"/>
      <c r="L968" s="224"/>
    </row>
    <row r="969" spans="1:12" ht="18.75">
      <c r="A969" s="125"/>
      <c r="B969" s="125"/>
      <c r="C969" s="125"/>
      <c r="D969" s="125" t="s">
        <v>27</v>
      </c>
      <c r="E969" s="124" t="s">
        <v>28</v>
      </c>
      <c r="F969" s="115">
        <f>134.3+212.5</f>
        <v>346.8</v>
      </c>
      <c r="G969" s="115"/>
      <c r="H969" s="115">
        <v>363.7</v>
      </c>
      <c r="I969" s="115">
        <v>351.5</v>
      </c>
      <c r="J969" s="167">
        <f t="shared" si="118"/>
        <v>0.9664558702227111</v>
      </c>
      <c r="K969" s="223"/>
      <c r="L969" s="224"/>
    </row>
    <row r="970" spans="1:12" ht="18.75">
      <c r="A970" s="125"/>
      <c r="B970" s="125"/>
      <c r="C970" s="125"/>
      <c r="D970" s="125" t="s">
        <v>62</v>
      </c>
      <c r="E970" s="124" t="s">
        <v>63</v>
      </c>
      <c r="F970" s="115">
        <f>2.4+3.5</f>
        <v>5.9</v>
      </c>
      <c r="G970" s="115"/>
      <c r="H970" s="115">
        <f>SUM(F970:G970)</f>
        <v>5.9</v>
      </c>
      <c r="I970" s="115">
        <v>5.8</v>
      </c>
      <c r="J970" s="167">
        <f t="shared" si="118"/>
        <v>0.983050847457627</v>
      </c>
      <c r="K970" s="223"/>
      <c r="L970" s="224"/>
    </row>
    <row r="971" spans="1:12" ht="18.75">
      <c r="A971" s="132"/>
      <c r="B971" s="132"/>
      <c r="C971" s="125" t="s">
        <v>94</v>
      </c>
      <c r="D971" s="125" t="s">
        <v>766</v>
      </c>
      <c r="E971" s="123" t="s">
        <v>824</v>
      </c>
      <c r="F971" s="115">
        <f>F972</f>
        <v>4588.4</v>
      </c>
      <c r="G971" s="115">
        <f>G972</f>
        <v>0</v>
      </c>
      <c r="H971" s="115">
        <f>H972</f>
        <v>5247</v>
      </c>
      <c r="I971" s="115">
        <f>I972</f>
        <v>5247</v>
      </c>
      <c r="J971" s="167">
        <f t="shared" si="118"/>
        <v>1</v>
      </c>
      <c r="K971" s="223"/>
      <c r="L971" s="224"/>
    </row>
    <row r="972" spans="1:12" ht="18.75">
      <c r="A972" s="125"/>
      <c r="B972" s="125"/>
      <c r="C972" s="125"/>
      <c r="D972" s="125" t="s">
        <v>21</v>
      </c>
      <c r="E972" s="124" t="s">
        <v>22</v>
      </c>
      <c r="F972" s="115">
        <v>4588.4</v>
      </c>
      <c r="G972" s="115"/>
      <c r="H972" s="115">
        <v>5247</v>
      </c>
      <c r="I972" s="115">
        <v>5247</v>
      </c>
      <c r="J972" s="167">
        <f t="shared" si="118"/>
        <v>1</v>
      </c>
      <c r="K972" s="223"/>
      <c r="L972" s="224"/>
    </row>
    <row r="973" spans="1:12" ht="18.75">
      <c r="A973" s="132"/>
      <c r="B973" s="132"/>
      <c r="C973" s="125" t="s">
        <v>95</v>
      </c>
      <c r="D973" s="125" t="s">
        <v>766</v>
      </c>
      <c r="E973" s="123" t="s">
        <v>96</v>
      </c>
      <c r="F973" s="115">
        <f>F974</f>
        <v>12758.6</v>
      </c>
      <c r="G973" s="115">
        <f>G974</f>
        <v>0</v>
      </c>
      <c r="H973" s="115">
        <f>H974</f>
        <v>12758.6</v>
      </c>
      <c r="I973" s="115">
        <f>I974</f>
        <v>12758.6</v>
      </c>
      <c r="J973" s="167">
        <f t="shared" si="118"/>
        <v>1</v>
      </c>
      <c r="K973" s="223"/>
      <c r="L973" s="224"/>
    </row>
    <row r="974" spans="1:12" ht="18.75">
      <c r="A974" s="125"/>
      <c r="B974" s="125"/>
      <c r="C974" s="125"/>
      <c r="D974" s="125" t="s">
        <v>21</v>
      </c>
      <c r="E974" s="124" t="s">
        <v>22</v>
      </c>
      <c r="F974" s="115">
        <v>12758.6</v>
      </c>
      <c r="G974" s="115"/>
      <c r="H974" s="115">
        <f>SUM(F974:G974)</f>
        <v>12758.6</v>
      </c>
      <c r="I974" s="115">
        <v>12758.6</v>
      </c>
      <c r="J974" s="167">
        <f t="shared" si="118"/>
        <v>1</v>
      </c>
      <c r="K974" s="223"/>
      <c r="L974" s="224"/>
    </row>
    <row r="975" spans="1:12" ht="36.75" customHeight="1">
      <c r="A975" s="132"/>
      <c r="B975" s="132"/>
      <c r="C975" s="132" t="s">
        <v>102</v>
      </c>
      <c r="D975" s="132" t="s">
        <v>766</v>
      </c>
      <c r="E975" s="122" t="s">
        <v>770</v>
      </c>
      <c r="F975" s="130">
        <f>F976</f>
        <v>130</v>
      </c>
      <c r="G975" s="130">
        <f>G976</f>
        <v>0</v>
      </c>
      <c r="H975" s="130">
        <f>H976</f>
        <v>130</v>
      </c>
      <c r="I975" s="130">
        <f>I976</f>
        <v>130</v>
      </c>
      <c r="J975" s="166">
        <f t="shared" si="118"/>
        <v>1</v>
      </c>
      <c r="K975" s="223"/>
      <c r="L975" s="224"/>
    </row>
    <row r="976" spans="1:12" ht="18.75">
      <c r="A976" s="132"/>
      <c r="B976" s="132"/>
      <c r="C976" s="132" t="s">
        <v>103</v>
      </c>
      <c r="D976" s="132" t="s">
        <v>766</v>
      </c>
      <c r="E976" s="122" t="s">
        <v>353</v>
      </c>
      <c r="F976" s="130">
        <f>F977+F980</f>
        <v>130</v>
      </c>
      <c r="G976" s="130">
        <f>G977+G980</f>
        <v>0</v>
      </c>
      <c r="H976" s="130">
        <f>H977+H980</f>
        <v>130</v>
      </c>
      <c r="I976" s="130">
        <f>I977+I980</f>
        <v>130</v>
      </c>
      <c r="J976" s="166">
        <f t="shared" si="118"/>
        <v>1</v>
      </c>
      <c r="K976" s="223"/>
      <c r="L976" s="224"/>
    </row>
    <row r="977" spans="1:12" ht="18.75">
      <c r="A977" s="132"/>
      <c r="B977" s="132"/>
      <c r="C977" s="132" t="s">
        <v>109</v>
      </c>
      <c r="D977" s="132"/>
      <c r="E977" s="122" t="s">
        <v>110</v>
      </c>
      <c r="F977" s="130">
        <f aca="true" t="shared" si="120" ref="F977:I978">F978</f>
        <v>115</v>
      </c>
      <c r="G977" s="130">
        <f t="shared" si="120"/>
        <v>0</v>
      </c>
      <c r="H977" s="130">
        <f t="shared" si="120"/>
        <v>115</v>
      </c>
      <c r="I977" s="130">
        <f t="shared" si="120"/>
        <v>115</v>
      </c>
      <c r="J977" s="166">
        <f t="shared" si="118"/>
        <v>1</v>
      </c>
      <c r="K977" s="223"/>
      <c r="L977" s="224"/>
    </row>
    <row r="978" spans="1:12" ht="18.75">
      <c r="A978" s="132"/>
      <c r="B978" s="132"/>
      <c r="C978" s="125" t="s">
        <v>111</v>
      </c>
      <c r="D978" s="125" t="s">
        <v>766</v>
      </c>
      <c r="E978" s="123" t="s">
        <v>817</v>
      </c>
      <c r="F978" s="115">
        <f t="shared" si="120"/>
        <v>115</v>
      </c>
      <c r="G978" s="115">
        <f t="shared" si="120"/>
        <v>0</v>
      </c>
      <c r="H978" s="115">
        <f t="shared" si="120"/>
        <v>115</v>
      </c>
      <c r="I978" s="115">
        <f t="shared" si="120"/>
        <v>115</v>
      </c>
      <c r="J978" s="167">
        <f t="shared" si="118"/>
        <v>1</v>
      </c>
      <c r="K978" s="223"/>
      <c r="L978" s="224"/>
    </row>
    <row r="979" spans="1:12" ht="18.75">
      <c r="A979" s="125"/>
      <c r="B979" s="125"/>
      <c r="C979" s="125"/>
      <c r="D979" s="125" t="s">
        <v>27</v>
      </c>
      <c r="E979" s="124" t="s">
        <v>28</v>
      </c>
      <c r="F979" s="115">
        <v>115</v>
      </c>
      <c r="G979" s="115"/>
      <c r="H979" s="115">
        <f>SUM(F979:G979)</f>
        <v>115</v>
      </c>
      <c r="I979" s="115">
        <v>115</v>
      </c>
      <c r="J979" s="167">
        <f t="shared" si="118"/>
        <v>1</v>
      </c>
      <c r="K979" s="223"/>
      <c r="L979" s="224"/>
    </row>
    <row r="980" spans="1:12" ht="18.75">
      <c r="A980" s="132"/>
      <c r="B980" s="132"/>
      <c r="C980" s="132" t="s">
        <v>112</v>
      </c>
      <c r="D980" s="132"/>
      <c r="E980" s="122" t="s">
        <v>113</v>
      </c>
      <c r="F980" s="130">
        <f aca="true" t="shared" si="121" ref="F980:I981">F981</f>
        <v>15</v>
      </c>
      <c r="G980" s="130">
        <f t="shared" si="121"/>
        <v>0</v>
      </c>
      <c r="H980" s="130">
        <f t="shared" si="121"/>
        <v>15</v>
      </c>
      <c r="I980" s="130">
        <f t="shared" si="121"/>
        <v>15</v>
      </c>
      <c r="J980" s="166">
        <f t="shared" si="118"/>
        <v>1</v>
      </c>
      <c r="K980" s="223"/>
      <c r="L980" s="224"/>
    </row>
    <row r="981" spans="1:12" ht="18.75">
      <c r="A981" s="132"/>
      <c r="B981" s="132"/>
      <c r="C981" s="125" t="s">
        <v>114</v>
      </c>
      <c r="D981" s="125" t="s">
        <v>766</v>
      </c>
      <c r="E981" s="123" t="s">
        <v>115</v>
      </c>
      <c r="F981" s="115">
        <f t="shared" si="121"/>
        <v>15</v>
      </c>
      <c r="G981" s="115">
        <f t="shared" si="121"/>
        <v>0</v>
      </c>
      <c r="H981" s="115">
        <f t="shared" si="121"/>
        <v>15</v>
      </c>
      <c r="I981" s="115">
        <f t="shared" si="121"/>
        <v>15</v>
      </c>
      <c r="J981" s="167">
        <f t="shared" si="118"/>
        <v>1</v>
      </c>
      <c r="K981" s="223"/>
      <c r="L981" s="224"/>
    </row>
    <row r="982" spans="1:12" ht="18.75">
      <c r="A982" s="125"/>
      <c r="B982" s="125"/>
      <c r="C982" s="125"/>
      <c r="D982" s="125" t="s">
        <v>27</v>
      </c>
      <c r="E982" s="124" t="s">
        <v>28</v>
      </c>
      <c r="F982" s="115">
        <v>15</v>
      </c>
      <c r="G982" s="115"/>
      <c r="H982" s="115">
        <f>SUM(F982:G982)</f>
        <v>15</v>
      </c>
      <c r="I982" s="115">
        <v>15</v>
      </c>
      <c r="J982" s="167">
        <f t="shared" si="118"/>
        <v>1</v>
      </c>
      <c r="K982" s="223"/>
      <c r="L982" s="224"/>
    </row>
    <row r="983" spans="1:12" ht="18.75">
      <c r="A983" s="125"/>
      <c r="B983" s="117" t="s">
        <v>384</v>
      </c>
      <c r="C983" s="117"/>
      <c r="D983" s="117"/>
      <c r="E983" s="118" t="s">
        <v>385</v>
      </c>
      <c r="F983" s="130">
        <f>F984</f>
        <v>10000</v>
      </c>
      <c r="G983" s="130">
        <f>G984</f>
        <v>0</v>
      </c>
      <c r="H983" s="130">
        <f>H984</f>
        <v>33256.299999999996</v>
      </c>
      <c r="I983" s="130">
        <f>I984</f>
        <v>31523.539999999997</v>
      </c>
      <c r="J983" s="166">
        <f t="shared" si="118"/>
        <v>0.9478967894804895</v>
      </c>
      <c r="K983" s="223"/>
      <c r="L983" s="224"/>
    </row>
    <row r="984" spans="1:12" ht="18.75">
      <c r="A984" s="125"/>
      <c r="B984" s="117" t="s">
        <v>388</v>
      </c>
      <c r="C984" s="117"/>
      <c r="D984" s="117"/>
      <c r="E984" s="118" t="s">
        <v>389</v>
      </c>
      <c r="F984" s="130">
        <f>F995</f>
        <v>10000</v>
      </c>
      <c r="G984" s="130">
        <f>G995</f>
        <v>0</v>
      </c>
      <c r="H984" s="130">
        <f>H995+H990+H985</f>
        <v>33256.299999999996</v>
      </c>
      <c r="I984" s="130">
        <f>I995+I990+I985</f>
        <v>31523.539999999997</v>
      </c>
      <c r="J984" s="166">
        <f t="shared" si="118"/>
        <v>0.9478967894804895</v>
      </c>
      <c r="K984" s="223"/>
      <c r="L984" s="224"/>
    </row>
    <row r="985" spans="1:12" ht="18.75">
      <c r="A985" s="125"/>
      <c r="B985" s="117"/>
      <c r="C985" s="132" t="s">
        <v>16</v>
      </c>
      <c r="D985" s="132" t="s">
        <v>766</v>
      </c>
      <c r="E985" s="122" t="s">
        <v>17</v>
      </c>
      <c r="F985" s="130">
        <f>F990</f>
        <v>0</v>
      </c>
      <c r="G985" s="130">
        <f>G990</f>
        <v>0</v>
      </c>
      <c r="H985" s="130">
        <f aca="true" t="shared" si="122" ref="H985:I988">H986</f>
        <v>20</v>
      </c>
      <c r="I985" s="130">
        <f t="shared" si="122"/>
        <v>20</v>
      </c>
      <c r="J985" s="166">
        <f aca="true" t="shared" si="123" ref="J985:J1013">I985/H985</f>
        <v>1</v>
      </c>
      <c r="K985" s="223"/>
      <c r="L985" s="224"/>
    </row>
    <row r="986" spans="1:12" ht="18.75">
      <c r="A986" s="125"/>
      <c r="B986" s="117"/>
      <c r="C986" s="132" t="s">
        <v>18</v>
      </c>
      <c r="D986" s="132" t="s">
        <v>766</v>
      </c>
      <c r="E986" s="122" t="s">
        <v>19</v>
      </c>
      <c r="F986" s="130"/>
      <c r="G986" s="130"/>
      <c r="H986" s="130">
        <f t="shared" si="122"/>
        <v>20</v>
      </c>
      <c r="I986" s="130">
        <f t="shared" si="122"/>
        <v>20</v>
      </c>
      <c r="J986" s="166">
        <f t="shared" si="123"/>
        <v>1</v>
      </c>
      <c r="K986" s="223"/>
      <c r="L986" s="224"/>
    </row>
    <row r="987" spans="1:12" ht="37.5">
      <c r="A987" s="125"/>
      <c r="B987" s="117"/>
      <c r="C987" s="132" t="s">
        <v>29</v>
      </c>
      <c r="D987" s="132"/>
      <c r="E987" s="122" t="s">
        <v>811</v>
      </c>
      <c r="F987" s="130"/>
      <c r="G987" s="130"/>
      <c r="H987" s="130">
        <f t="shared" si="122"/>
        <v>20</v>
      </c>
      <c r="I987" s="130">
        <f t="shared" si="122"/>
        <v>20</v>
      </c>
      <c r="J987" s="166">
        <f t="shared" si="123"/>
        <v>1</v>
      </c>
      <c r="K987" s="223"/>
      <c r="L987" s="224"/>
    </row>
    <row r="988" spans="1:12" ht="18.75">
      <c r="A988" s="125"/>
      <c r="B988" s="117"/>
      <c r="C988" s="119" t="s">
        <v>454</v>
      </c>
      <c r="D988" s="119"/>
      <c r="E988" s="133" t="s">
        <v>818</v>
      </c>
      <c r="F988" s="178"/>
      <c r="G988" s="178"/>
      <c r="H988" s="131">
        <f t="shared" si="122"/>
        <v>20</v>
      </c>
      <c r="I988" s="131">
        <f t="shared" si="122"/>
        <v>20</v>
      </c>
      <c r="J988" s="169">
        <f t="shared" si="123"/>
        <v>1</v>
      </c>
      <c r="K988" s="223"/>
      <c r="L988" s="224"/>
    </row>
    <row r="989" spans="1:12" ht="18.75">
      <c r="A989" s="125"/>
      <c r="B989" s="117"/>
      <c r="C989" s="119"/>
      <c r="D989" s="119" t="s">
        <v>21</v>
      </c>
      <c r="E989" s="120" t="s">
        <v>22</v>
      </c>
      <c r="F989" s="178"/>
      <c r="G989" s="178"/>
      <c r="H989" s="131">
        <v>20</v>
      </c>
      <c r="I989" s="131">
        <v>20</v>
      </c>
      <c r="J989" s="169">
        <f t="shared" si="123"/>
        <v>1</v>
      </c>
      <c r="K989" s="223"/>
      <c r="L989" s="224"/>
    </row>
    <row r="990" spans="1:12" ht="37.5">
      <c r="A990" s="125"/>
      <c r="B990" s="117"/>
      <c r="C990" s="17" t="s">
        <v>64</v>
      </c>
      <c r="D990" s="11"/>
      <c r="E990" s="9" t="s">
        <v>65</v>
      </c>
      <c r="F990" s="130"/>
      <c r="G990" s="130"/>
      <c r="H990" s="130">
        <f aca="true" t="shared" si="124" ref="H990:I993">H991</f>
        <v>50</v>
      </c>
      <c r="I990" s="130">
        <f t="shared" si="124"/>
        <v>50</v>
      </c>
      <c r="J990" s="166">
        <f t="shared" si="123"/>
        <v>1</v>
      </c>
      <c r="K990" s="223"/>
      <c r="L990" s="224"/>
    </row>
    <row r="991" spans="1:12" ht="37.5">
      <c r="A991" s="125"/>
      <c r="B991" s="117"/>
      <c r="C991" s="17" t="s">
        <v>83</v>
      </c>
      <c r="D991" s="11"/>
      <c r="E991" s="9" t="s">
        <v>84</v>
      </c>
      <c r="F991" s="130"/>
      <c r="G991" s="130"/>
      <c r="H991" s="130">
        <f t="shared" si="124"/>
        <v>50</v>
      </c>
      <c r="I991" s="130">
        <f t="shared" si="124"/>
        <v>50</v>
      </c>
      <c r="J991" s="166">
        <f t="shared" si="123"/>
        <v>1</v>
      </c>
      <c r="K991" s="223"/>
      <c r="L991" s="224"/>
    </row>
    <row r="992" spans="1:12" ht="37.5">
      <c r="A992" s="125"/>
      <c r="B992" s="117"/>
      <c r="C992" s="17" t="s">
        <v>85</v>
      </c>
      <c r="D992" s="8"/>
      <c r="E992" s="145" t="s">
        <v>42</v>
      </c>
      <c r="F992" s="130"/>
      <c r="G992" s="130"/>
      <c r="H992" s="130">
        <f t="shared" si="124"/>
        <v>50</v>
      </c>
      <c r="I992" s="130">
        <f t="shared" si="124"/>
        <v>50</v>
      </c>
      <c r="J992" s="166">
        <f t="shared" si="123"/>
        <v>1</v>
      </c>
      <c r="K992" s="223"/>
      <c r="L992" s="224"/>
    </row>
    <row r="993" spans="1:12" ht="18.75">
      <c r="A993" s="125"/>
      <c r="B993" s="117"/>
      <c r="C993" s="15" t="s">
        <v>101</v>
      </c>
      <c r="D993" s="11"/>
      <c r="E993" s="12" t="s">
        <v>58</v>
      </c>
      <c r="F993" s="130"/>
      <c r="G993" s="130"/>
      <c r="H993" s="115">
        <f t="shared" si="124"/>
        <v>50</v>
      </c>
      <c r="I993" s="115">
        <f t="shared" si="124"/>
        <v>50</v>
      </c>
      <c r="J993" s="167">
        <f t="shared" si="123"/>
        <v>1</v>
      </c>
      <c r="K993" s="223"/>
      <c r="L993" s="224"/>
    </row>
    <row r="994" spans="1:12" ht="18.75">
      <c r="A994" s="125"/>
      <c r="B994" s="117"/>
      <c r="C994" s="8"/>
      <c r="D994" s="13" t="s">
        <v>32</v>
      </c>
      <c r="E994" s="14" t="s">
        <v>33</v>
      </c>
      <c r="F994" s="130"/>
      <c r="G994" s="130"/>
      <c r="H994" s="115">
        <v>50</v>
      </c>
      <c r="I994" s="115">
        <v>50</v>
      </c>
      <c r="J994" s="167">
        <f t="shared" si="123"/>
        <v>1</v>
      </c>
      <c r="K994" s="223"/>
      <c r="L994" s="224"/>
    </row>
    <row r="995" spans="1:12" ht="18.75">
      <c r="A995" s="132"/>
      <c r="B995" s="132"/>
      <c r="C995" s="132" t="s">
        <v>255</v>
      </c>
      <c r="D995" s="132" t="s">
        <v>766</v>
      </c>
      <c r="E995" s="122" t="s">
        <v>256</v>
      </c>
      <c r="F995" s="130">
        <f aca="true" t="shared" si="125" ref="F995:G998">F996</f>
        <v>10000</v>
      </c>
      <c r="G995" s="130">
        <f t="shared" si="125"/>
        <v>0</v>
      </c>
      <c r="H995" s="130">
        <f>H996+H1008</f>
        <v>33186.299999999996</v>
      </c>
      <c r="I995" s="130">
        <f>I996+I1008</f>
        <v>31453.539999999997</v>
      </c>
      <c r="J995" s="166">
        <f t="shared" si="123"/>
        <v>0.947786887962804</v>
      </c>
      <c r="K995" s="223"/>
      <c r="L995" s="224"/>
    </row>
    <row r="996" spans="1:12" ht="24" customHeight="1">
      <c r="A996" s="132"/>
      <c r="B996" s="132"/>
      <c r="C996" s="180" t="s">
        <v>257</v>
      </c>
      <c r="D996" s="132" t="s">
        <v>766</v>
      </c>
      <c r="E996" s="122" t="s">
        <v>504</v>
      </c>
      <c r="F996" s="130">
        <f t="shared" si="125"/>
        <v>10000</v>
      </c>
      <c r="G996" s="130">
        <f t="shared" si="125"/>
        <v>0</v>
      </c>
      <c r="H996" s="130">
        <f>H997</f>
        <v>33125.92</v>
      </c>
      <c r="I996" s="130">
        <f>I997</f>
        <v>31408.739999999998</v>
      </c>
      <c r="J996" s="166">
        <f t="shared" si="123"/>
        <v>0.9481620434994711</v>
      </c>
      <c r="K996" s="223"/>
      <c r="L996" s="224"/>
    </row>
    <row r="997" spans="1:12" ht="18.75">
      <c r="A997" s="132"/>
      <c r="B997" s="132"/>
      <c r="C997" s="180" t="s">
        <v>258</v>
      </c>
      <c r="D997" s="132"/>
      <c r="E997" s="122" t="s">
        <v>259</v>
      </c>
      <c r="F997" s="130">
        <f t="shared" si="125"/>
        <v>10000</v>
      </c>
      <c r="G997" s="130">
        <f t="shared" si="125"/>
        <v>0</v>
      </c>
      <c r="H997" s="130">
        <f>H998+H1006+H1002+H1000+H1004</f>
        <v>33125.92</v>
      </c>
      <c r="I997" s="130">
        <f>I998+I1006+I1002+I1000+I1004</f>
        <v>31408.739999999998</v>
      </c>
      <c r="J997" s="166">
        <f t="shared" si="123"/>
        <v>0.9481620434994711</v>
      </c>
      <c r="K997" s="223"/>
      <c r="L997" s="224"/>
    </row>
    <row r="998" spans="1:12" ht="18.75">
      <c r="A998" s="132"/>
      <c r="B998" s="132"/>
      <c r="C998" s="125" t="s">
        <v>1094</v>
      </c>
      <c r="D998" s="125" t="s">
        <v>766</v>
      </c>
      <c r="E998" s="123" t="s">
        <v>260</v>
      </c>
      <c r="F998" s="115">
        <f t="shared" si="125"/>
        <v>10000</v>
      </c>
      <c r="G998" s="115">
        <f t="shared" si="125"/>
        <v>0</v>
      </c>
      <c r="H998" s="115">
        <f>H999</f>
        <v>174.96</v>
      </c>
      <c r="I998" s="115">
        <f>I999</f>
        <v>175</v>
      </c>
      <c r="J998" s="167">
        <f t="shared" si="123"/>
        <v>1.0002286236854137</v>
      </c>
      <c r="K998" s="223"/>
      <c r="L998" s="224"/>
    </row>
    <row r="999" spans="1:12" ht="18.75">
      <c r="A999" s="125"/>
      <c r="B999" s="125"/>
      <c r="C999" s="160"/>
      <c r="D999" s="125" t="s">
        <v>32</v>
      </c>
      <c r="E999" s="124" t="s">
        <v>33</v>
      </c>
      <c r="F999" s="115">
        <v>10000</v>
      </c>
      <c r="G999" s="115"/>
      <c r="H999" s="115">
        <v>174.96</v>
      </c>
      <c r="I999" s="115">
        <v>175</v>
      </c>
      <c r="J999" s="167">
        <f t="shared" si="123"/>
        <v>1.0002286236854137</v>
      </c>
      <c r="K999" s="223"/>
      <c r="L999" s="224"/>
    </row>
    <row r="1000" spans="1:12" ht="18.75">
      <c r="A1000" s="127"/>
      <c r="B1000" s="127"/>
      <c r="C1000" s="125" t="s">
        <v>1040</v>
      </c>
      <c r="D1000" s="125"/>
      <c r="E1000" s="124" t="s">
        <v>1041</v>
      </c>
      <c r="F1000" s="203"/>
      <c r="G1000" s="203"/>
      <c r="H1000" s="115">
        <f>H1001</f>
        <v>10000</v>
      </c>
      <c r="I1000" s="115">
        <f>I1001</f>
        <v>9678.8</v>
      </c>
      <c r="J1000" s="167">
        <f t="shared" si="123"/>
        <v>0.96788</v>
      </c>
      <c r="K1000" s="223"/>
      <c r="L1000" s="224"/>
    </row>
    <row r="1001" spans="1:12" ht="18.75">
      <c r="A1001" s="127"/>
      <c r="B1001" s="127"/>
      <c r="C1001" s="125"/>
      <c r="D1001" s="125" t="s">
        <v>32</v>
      </c>
      <c r="E1001" s="124" t="s">
        <v>33</v>
      </c>
      <c r="F1001" s="203"/>
      <c r="G1001" s="203"/>
      <c r="H1001" s="115">
        <v>10000</v>
      </c>
      <c r="I1001" s="115">
        <v>9678.8</v>
      </c>
      <c r="J1001" s="167">
        <f t="shared" si="123"/>
        <v>0.96788</v>
      </c>
      <c r="K1001" s="223"/>
      <c r="L1001" s="224"/>
    </row>
    <row r="1002" spans="1:12" ht="18.75">
      <c r="A1002" s="127"/>
      <c r="B1002" s="127"/>
      <c r="C1002" s="119" t="s">
        <v>1040</v>
      </c>
      <c r="D1002" s="119"/>
      <c r="E1002" s="120" t="s">
        <v>1042</v>
      </c>
      <c r="F1002" s="203"/>
      <c r="G1002" s="203"/>
      <c r="H1002" s="131">
        <f>H1003</f>
        <v>13198.66</v>
      </c>
      <c r="I1002" s="131">
        <f>I1003</f>
        <v>12774.8</v>
      </c>
      <c r="J1002" s="169">
        <f t="shared" si="123"/>
        <v>0.9678861338954106</v>
      </c>
      <c r="K1002" s="223"/>
      <c r="L1002" s="224"/>
    </row>
    <row r="1003" spans="1:12" ht="18.75">
      <c r="A1003" s="127"/>
      <c r="B1003" s="127"/>
      <c r="C1003" s="119"/>
      <c r="D1003" s="119" t="s">
        <v>32</v>
      </c>
      <c r="E1003" s="120" t="s">
        <v>33</v>
      </c>
      <c r="F1003" s="203"/>
      <c r="G1003" s="203"/>
      <c r="H1003" s="131">
        <v>13198.66</v>
      </c>
      <c r="I1003" s="131">
        <v>12774.8</v>
      </c>
      <c r="J1003" s="169">
        <f t="shared" si="123"/>
        <v>0.9678861338954106</v>
      </c>
      <c r="K1003" s="223"/>
      <c r="L1003" s="224"/>
    </row>
    <row r="1004" spans="1:12" s="176" customFormat="1" ht="18.75">
      <c r="A1004" s="193"/>
      <c r="B1004" s="193"/>
      <c r="C1004" s="119" t="s">
        <v>1039</v>
      </c>
      <c r="D1004" s="119" t="s">
        <v>766</v>
      </c>
      <c r="E1004" s="133" t="s">
        <v>260</v>
      </c>
      <c r="F1004" s="131">
        <f>F1005</f>
        <v>10000</v>
      </c>
      <c r="G1004" s="131">
        <f>G1005</f>
        <v>0</v>
      </c>
      <c r="H1004" s="131">
        <f>H1005</f>
        <v>490.8</v>
      </c>
      <c r="I1004" s="131">
        <f>I1005</f>
        <v>490.8</v>
      </c>
      <c r="J1004" s="169">
        <f>I1004/H1004</f>
        <v>1</v>
      </c>
      <c r="K1004" s="223"/>
      <c r="L1004" s="224"/>
    </row>
    <row r="1005" spans="1:12" s="176" customFormat="1" ht="18.75">
      <c r="A1005" s="119"/>
      <c r="B1005" s="119"/>
      <c r="C1005" s="119"/>
      <c r="D1005" s="119" t="s">
        <v>32</v>
      </c>
      <c r="E1005" s="120" t="s">
        <v>33</v>
      </c>
      <c r="F1005" s="131">
        <v>10000</v>
      </c>
      <c r="G1005" s="131"/>
      <c r="H1005" s="131">
        <v>490.8</v>
      </c>
      <c r="I1005" s="131">
        <v>490.8</v>
      </c>
      <c r="J1005" s="169">
        <f>I1005/H1005</f>
        <v>1</v>
      </c>
      <c r="K1005" s="223"/>
      <c r="L1005" s="224"/>
    </row>
    <row r="1006" spans="1:12" s="176" customFormat="1" ht="18.75">
      <c r="A1006" s="119"/>
      <c r="B1006" s="119"/>
      <c r="C1006" s="119" t="s">
        <v>1038</v>
      </c>
      <c r="D1006" s="119"/>
      <c r="E1006" s="120" t="s">
        <v>1095</v>
      </c>
      <c r="F1006" s="131"/>
      <c r="G1006" s="131"/>
      <c r="H1006" s="131">
        <f>H1007</f>
        <v>9261.5</v>
      </c>
      <c r="I1006" s="131">
        <f>I1007</f>
        <v>8289.34</v>
      </c>
      <c r="J1006" s="169">
        <f>I1006/H1006</f>
        <v>0.8950321222264213</v>
      </c>
      <c r="K1006" s="223"/>
      <c r="L1006" s="224"/>
    </row>
    <row r="1007" spans="1:12" s="176" customFormat="1" ht="18.75">
      <c r="A1007" s="119"/>
      <c r="B1007" s="119"/>
      <c r="C1007" s="119"/>
      <c r="D1007" s="119" t="s">
        <v>32</v>
      </c>
      <c r="E1007" s="120" t="s">
        <v>33</v>
      </c>
      <c r="F1007" s="131"/>
      <c r="G1007" s="131"/>
      <c r="H1007" s="131">
        <v>9261.5</v>
      </c>
      <c r="I1007" s="131">
        <v>8289.34</v>
      </c>
      <c r="J1007" s="169">
        <f>I1007/H1007</f>
        <v>0.8950321222264213</v>
      </c>
      <c r="K1007" s="223"/>
      <c r="L1007" s="224"/>
    </row>
    <row r="1008" spans="1:12" ht="18.75">
      <c r="A1008" s="127"/>
      <c r="B1008" s="127"/>
      <c r="C1008" s="132" t="s">
        <v>261</v>
      </c>
      <c r="D1008" s="132" t="s">
        <v>766</v>
      </c>
      <c r="E1008" s="122" t="s">
        <v>262</v>
      </c>
      <c r="F1008" s="204"/>
      <c r="G1008" s="204"/>
      <c r="H1008" s="130">
        <f>H1009</f>
        <v>60.379999999999995</v>
      </c>
      <c r="I1008" s="130">
        <f>I1009</f>
        <v>44.8</v>
      </c>
      <c r="J1008" s="166">
        <f t="shared" si="123"/>
        <v>0.7419675389201722</v>
      </c>
      <c r="K1008" s="223"/>
      <c r="L1008" s="224"/>
    </row>
    <row r="1009" spans="1:12" ht="18.75">
      <c r="A1009" s="127"/>
      <c r="B1009" s="127"/>
      <c r="C1009" s="132" t="s">
        <v>263</v>
      </c>
      <c r="D1009" s="132"/>
      <c r="E1009" s="122" t="s">
        <v>264</v>
      </c>
      <c r="F1009" s="204"/>
      <c r="G1009" s="204"/>
      <c r="H1009" s="130">
        <f>H1010+H1012</f>
        <v>60.379999999999995</v>
      </c>
      <c r="I1009" s="130">
        <f>I1010+I1012</f>
        <v>44.8</v>
      </c>
      <c r="J1009" s="166">
        <f t="shared" si="123"/>
        <v>0.7419675389201722</v>
      </c>
      <c r="K1009" s="223"/>
      <c r="L1009" s="224"/>
    </row>
    <row r="1010" spans="1:12" ht="37.5">
      <c r="A1010" s="127"/>
      <c r="B1010" s="127"/>
      <c r="C1010" s="125" t="s">
        <v>1017</v>
      </c>
      <c r="D1010" s="125" t="s">
        <v>766</v>
      </c>
      <c r="E1010" s="123" t="s">
        <v>1092</v>
      </c>
      <c r="F1010" s="203"/>
      <c r="G1010" s="203"/>
      <c r="H1010" s="115">
        <f>H1011</f>
        <v>19.2</v>
      </c>
      <c r="I1010" s="115">
        <f>I1011</f>
        <v>19.2</v>
      </c>
      <c r="J1010" s="167">
        <f t="shared" si="123"/>
        <v>1</v>
      </c>
      <c r="K1010" s="223"/>
      <c r="L1010" s="224"/>
    </row>
    <row r="1011" spans="1:12" ht="18.75">
      <c r="A1011" s="127"/>
      <c r="B1011" s="127"/>
      <c r="C1011" s="125"/>
      <c r="D1011" s="125" t="s">
        <v>21</v>
      </c>
      <c r="E1011" s="124" t="s">
        <v>22</v>
      </c>
      <c r="F1011" s="203"/>
      <c r="G1011" s="203"/>
      <c r="H1011" s="115">
        <v>19.2</v>
      </c>
      <c r="I1011" s="115">
        <v>19.2</v>
      </c>
      <c r="J1011" s="167">
        <f t="shared" si="123"/>
        <v>1</v>
      </c>
      <c r="K1011" s="223"/>
      <c r="L1011" s="224"/>
    </row>
    <row r="1012" spans="1:12" ht="37.5">
      <c r="A1012" s="127"/>
      <c r="B1012" s="127"/>
      <c r="C1012" s="126" t="s">
        <v>1017</v>
      </c>
      <c r="D1012" s="119"/>
      <c r="E1012" s="120" t="s">
        <v>1093</v>
      </c>
      <c r="F1012" s="203"/>
      <c r="G1012" s="203"/>
      <c r="H1012" s="131">
        <f>H1013</f>
        <v>41.18</v>
      </c>
      <c r="I1012" s="131">
        <f>I1013</f>
        <v>25.6</v>
      </c>
      <c r="J1012" s="169">
        <f t="shared" si="123"/>
        <v>0.6216610004856727</v>
      </c>
      <c r="K1012" s="223"/>
      <c r="L1012" s="224"/>
    </row>
    <row r="1013" spans="1:12" ht="18.75">
      <c r="A1013" s="127"/>
      <c r="B1013" s="127"/>
      <c r="C1013" s="126"/>
      <c r="D1013" s="119" t="s">
        <v>21</v>
      </c>
      <c r="E1013" s="120" t="s">
        <v>22</v>
      </c>
      <c r="F1013" s="203"/>
      <c r="G1013" s="203"/>
      <c r="H1013" s="131">
        <v>41.18</v>
      </c>
      <c r="I1013" s="131">
        <v>25.6</v>
      </c>
      <c r="J1013" s="169">
        <f t="shared" si="123"/>
        <v>0.6216610004856727</v>
      </c>
      <c r="K1013" s="223"/>
      <c r="L1013" s="224"/>
    </row>
    <row r="1014" spans="1:12" ht="18.75">
      <c r="A1014" s="125"/>
      <c r="B1014" s="125"/>
      <c r="C1014" s="160"/>
      <c r="D1014" s="125"/>
      <c r="E1014" s="124"/>
      <c r="F1014" s="115"/>
      <c r="G1014" s="115"/>
      <c r="H1014" s="115"/>
      <c r="I1014" s="115"/>
      <c r="J1014" s="167"/>
      <c r="K1014" s="223"/>
      <c r="L1014" s="224"/>
    </row>
    <row r="1015" spans="1:12" ht="26.25" customHeight="1">
      <c r="A1015" s="162" t="s">
        <v>405</v>
      </c>
      <c r="B1015" s="162"/>
      <c r="C1015" s="162" t="s">
        <v>766</v>
      </c>
      <c r="D1015" s="162" t="s">
        <v>766</v>
      </c>
      <c r="E1015" s="163" t="s">
        <v>15</v>
      </c>
      <c r="F1015" s="205">
        <f>F1016+F1024+F1058+F1078</f>
        <v>73055.3</v>
      </c>
      <c r="G1015" s="205">
        <f>G1016+G1024+G1058+G1078</f>
        <v>1500</v>
      </c>
      <c r="H1015" s="205">
        <f>H1016+H1024+H1058+H1078</f>
        <v>76821.29999999999</v>
      </c>
      <c r="I1015" s="205">
        <f>I1016+I1024+I1058+I1078</f>
        <v>76604.9</v>
      </c>
      <c r="J1015" s="165">
        <f aca="true" t="shared" si="126" ref="J1015:J1046">I1015/H1015</f>
        <v>0.9971830729237855</v>
      </c>
      <c r="K1015" s="223"/>
      <c r="L1015" s="224"/>
    </row>
    <row r="1016" spans="1:12" ht="18.75">
      <c r="A1016" s="132"/>
      <c r="B1016" s="117" t="s">
        <v>329</v>
      </c>
      <c r="C1016" s="117"/>
      <c r="D1016" s="117"/>
      <c r="E1016" s="118" t="s">
        <v>330</v>
      </c>
      <c r="F1016" s="206">
        <f>F1017</f>
        <v>44.5</v>
      </c>
      <c r="G1016" s="206">
        <f aca="true" t="shared" si="127" ref="G1016:I1020">G1017</f>
        <v>0</v>
      </c>
      <c r="H1016" s="206">
        <f t="shared" si="127"/>
        <v>44.5</v>
      </c>
      <c r="I1016" s="206">
        <f t="shared" si="127"/>
        <v>4</v>
      </c>
      <c r="J1016" s="166">
        <f t="shared" si="126"/>
        <v>0.0898876404494382</v>
      </c>
      <c r="K1016" s="223"/>
      <c r="L1016" s="224"/>
    </row>
    <row r="1017" spans="1:12" ht="18.75">
      <c r="A1017" s="132"/>
      <c r="B1017" s="117" t="s">
        <v>333</v>
      </c>
      <c r="C1017" s="117"/>
      <c r="D1017" s="117"/>
      <c r="E1017" s="118" t="s">
        <v>334</v>
      </c>
      <c r="F1017" s="206">
        <f>F1018</f>
        <v>44.5</v>
      </c>
      <c r="G1017" s="206">
        <f t="shared" si="127"/>
        <v>0</v>
      </c>
      <c r="H1017" s="206">
        <f t="shared" si="127"/>
        <v>44.5</v>
      </c>
      <c r="I1017" s="206">
        <f t="shared" si="127"/>
        <v>4</v>
      </c>
      <c r="J1017" s="166">
        <f t="shared" si="126"/>
        <v>0.0898876404494382</v>
      </c>
      <c r="K1017" s="223"/>
      <c r="L1017" s="224"/>
    </row>
    <row r="1018" spans="1:12" ht="37.5">
      <c r="A1018" s="132"/>
      <c r="B1018" s="132"/>
      <c r="C1018" s="132" t="s">
        <v>269</v>
      </c>
      <c r="D1018" s="132" t="s">
        <v>766</v>
      </c>
      <c r="E1018" s="122" t="s">
        <v>412</v>
      </c>
      <c r="F1018" s="206">
        <f>F1019</f>
        <v>44.5</v>
      </c>
      <c r="G1018" s="206">
        <f t="shared" si="127"/>
        <v>0</v>
      </c>
      <c r="H1018" s="206">
        <f t="shared" si="127"/>
        <v>44.5</v>
      </c>
      <c r="I1018" s="206">
        <f t="shared" si="127"/>
        <v>4</v>
      </c>
      <c r="J1018" s="166">
        <f t="shared" si="126"/>
        <v>0.0898876404494382</v>
      </c>
      <c r="K1018" s="223"/>
      <c r="L1018" s="224"/>
    </row>
    <row r="1019" spans="1:12" ht="24" customHeight="1">
      <c r="A1019" s="132"/>
      <c r="B1019" s="132"/>
      <c r="C1019" s="132" t="s">
        <v>270</v>
      </c>
      <c r="D1019" s="132" t="s">
        <v>766</v>
      </c>
      <c r="E1019" s="122" t="s">
        <v>271</v>
      </c>
      <c r="F1019" s="206">
        <f>F1020</f>
        <v>44.5</v>
      </c>
      <c r="G1019" s="206">
        <f t="shared" si="127"/>
        <v>0</v>
      </c>
      <c r="H1019" s="206">
        <f t="shared" si="127"/>
        <v>44.5</v>
      </c>
      <c r="I1019" s="206">
        <f t="shared" si="127"/>
        <v>4</v>
      </c>
      <c r="J1019" s="166">
        <f t="shared" si="126"/>
        <v>0.0898876404494382</v>
      </c>
      <c r="K1019" s="223"/>
      <c r="L1019" s="224"/>
    </row>
    <row r="1020" spans="1:12" ht="37.5">
      <c r="A1020" s="132"/>
      <c r="B1020" s="132"/>
      <c r="C1020" s="132" t="s">
        <v>272</v>
      </c>
      <c r="D1020" s="132"/>
      <c r="E1020" s="122" t="s">
        <v>273</v>
      </c>
      <c r="F1020" s="206">
        <f>F1021</f>
        <v>44.5</v>
      </c>
      <c r="G1020" s="206">
        <f t="shared" si="127"/>
        <v>0</v>
      </c>
      <c r="H1020" s="206">
        <f t="shared" si="127"/>
        <v>44.5</v>
      </c>
      <c r="I1020" s="206">
        <f t="shared" si="127"/>
        <v>4</v>
      </c>
      <c r="J1020" s="166">
        <f t="shared" si="126"/>
        <v>0.0898876404494382</v>
      </c>
      <c r="K1020" s="223"/>
      <c r="L1020" s="224"/>
    </row>
    <row r="1021" spans="1:12" ht="18.75">
      <c r="A1021" s="125"/>
      <c r="B1021" s="125"/>
      <c r="C1021" s="125" t="s">
        <v>274</v>
      </c>
      <c r="D1021" s="125" t="s">
        <v>766</v>
      </c>
      <c r="E1021" s="123" t="s">
        <v>275</v>
      </c>
      <c r="F1021" s="207">
        <f>F1023+F1022</f>
        <v>44.5</v>
      </c>
      <c r="G1021" s="207">
        <f>G1023+G1022</f>
        <v>0</v>
      </c>
      <c r="H1021" s="207">
        <f>H1023+H1022</f>
        <v>44.5</v>
      </c>
      <c r="I1021" s="207">
        <f>I1023+I1022</f>
        <v>4</v>
      </c>
      <c r="J1021" s="167">
        <f t="shared" si="126"/>
        <v>0.0898876404494382</v>
      </c>
      <c r="K1021" s="223"/>
      <c r="L1021" s="224"/>
    </row>
    <row r="1022" spans="1:12" ht="37.5">
      <c r="A1022" s="125"/>
      <c r="B1022" s="125"/>
      <c r="C1022" s="125"/>
      <c r="D1022" s="125" t="s">
        <v>46</v>
      </c>
      <c r="E1022" s="124" t="s">
        <v>47</v>
      </c>
      <c r="F1022" s="207">
        <v>16.5</v>
      </c>
      <c r="G1022" s="115"/>
      <c r="H1022" s="115">
        <f>SUM(F1022:G1022)</f>
        <v>16.5</v>
      </c>
      <c r="I1022" s="115">
        <v>1.8</v>
      </c>
      <c r="J1022" s="167">
        <f t="shared" si="126"/>
        <v>0.1090909090909091</v>
      </c>
      <c r="K1022" s="223"/>
      <c r="L1022" s="224"/>
    </row>
    <row r="1023" spans="1:12" ht="18.75">
      <c r="A1023" s="125"/>
      <c r="B1023" s="125"/>
      <c r="C1023" s="125"/>
      <c r="D1023" s="125" t="s">
        <v>27</v>
      </c>
      <c r="E1023" s="124" t="s">
        <v>28</v>
      </c>
      <c r="F1023" s="115">
        <v>28</v>
      </c>
      <c r="G1023" s="115"/>
      <c r="H1023" s="115">
        <f>SUM(F1023:G1023)</f>
        <v>28</v>
      </c>
      <c r="I1023" s="115">
        <v>2.2</v>
      </c>
      <c r="J1023" s="167">
        <f t="shared" si="126"/>
        <v>0.07857142857142858</v>
      </c>
      <c r="K1023" s="223"/>
      <c r="L1023" s="224"/>
    </row>
    <row r="1024" spans="1:12" ht="18.75">
      <c r="A1024" s="125"/>
      <c r="B1024" s="117" t="s">
        <v>374</v>
      </c>
      <c r="C1024" s="117"/>
      <c r="D1024" s="117"/>
      <c r="E1024" s="118" t="s">
        <v>375</v>
      </c>
      <c r="F1024" s="130">
        <f>F1025+F1035+F1052</f>
        <v>43356.1</v>
      </c>
      <c r="G1024" s="130">
        <f>G1025+G1035+G1052</f>
        <v>1500</v>
      </c>
      <c r="H1024" s="130">
        <f>H1025+H1035+H1052</f>
        <v>52031.799999999996</v>
      </c>
      <c r="I1024" s="130">
        <f>I1025+I1035+I1052</f>
        <v>52001.8</v>
      </c>
      <c r="J1024" s="166">
        <f t="shared" si="126"/>
        <v>0.9994234295181025</v>
      </c>
      <c r="K1024" s="223"/>
      <c r="L1024" s="224"/>
    </row>
    <row r="1025" spans="1:12" ht="18.75">
      <c r="A1025" s="125"/>
      <c r="B1025" s="132" t="s">
        <v>797</v>
      </c>
      <c r="C1025" s="132"/>
      <c r="D1025" s="132"/>
      <c r="E1025" s="134" t="s">
        <v>798</v>
      </c>
      <c r="F1025" s="130">
        <f>F1026</f>
        <v>42591.4</v>
      </c>
      <c r="G1025" s="130">
        <f>G1026</f>
        <v>1500</v>
      </c>
      <c r="H1025" s="130">
        <f>H1026</f>
        <v>51267.1</v>
      </c>
      <c r="I1025" s="130">
        <f>I1026</f>
        <v>51267.1</v>
      </c>
      <c r="J1025" s="166">
        <f t="shared" si="126"/>
        <v>1</v>
      </c>
      <c r="K1025" s="223"/>
      <c r="L1025" s="224"/>
    </row>
    <row r="1026" spans="1:12" ht="18.75">
      <c r="A1026" s="132"/>
      <c r="B1026" s="132"/>
      <c r="C1026" s="132" t="s">
        <v>223</v>
      </c>
      <c r="D1026" s="132" t="s">
        <v>766</v>
      </c>
      <c r="E1026" s="122" t="s">
        <v>224</v>
      </c>
      <c r="F1026" s="206">
        <f>F1027+F1031</f>
        <v>42591.4</v>
      </c>
      <c r="G1026" s="206">
        <f>G1027+G1031</f>
        <v>1500</v>
      </c>
      <c r="H1026" s="206">
        <f>H1027+H1031</f>
        <v>51267.1</v>
      </c>
      <c r="I1026" s="206">
        <f>I1027+I1031</f>
        <v>51267.1</v>
      </c>
      <c r="J1026" s="166">
        <f t="shared" si="126"/>
        <v>1</v>
      </c>
      <c r="K1026" s="223"/>
      <c r="L1026" s="224"/>
    </row>
    <row r="1027" spans="1:12" ht="27.75" customHeight="1">
      <c r="A1027" s="132"/>
      <c r="B1027" s="132"/>
      <c r="C1027" s="132" t="s">
        <v>225</v>
      </c>
      <c r="D1027" s="132" t="s">
        <v>766</v>
      </c>
      <c r="E1027" s="122" t="s">
        <v>503</v>
      </c>
      <c r="F1027" s="206">
        <f>F1028</f>
        <v>1092</v>
      </c>
      <c r="G1027" s="206">
        <f aca="true" t="shared" si="128" ref="G1027:I1029">G1028</f>
        <v>0</v>
      </c>
      <c r="H1027" s="206">
        <f t="shared" si="128"/>
        <v>1092</v>
      </c>
      <c r="I1027" s="206">
        <f t="shared" si="128"/>
        <v>1092</v>
      </c>
      <c r="J1027" s="166">
        <f t="shared" si="126"/>
        <v>1</v>
      </c>
      <c r="K1027" s="223"/>
      <c r="L1027" s="224"/>
    </row>
    <row r="1028" spans="1:12" ht="37.5">
      <c r="A1028" s="132"/>
      <c r="B1028" s="132"/>
      <c r="C1028" s="132" t="s">
        <v>226</v>
      </c>
      <c r="D1028" s="132"/>
      <c r="E1028" s="122" t="s">
        <v>227</v>
      </c>
      <c r="F1028" s="206">
        <f>F1029</f>
        <v>1092</v>
      </c>
      <c r="G1028" s="206">
        <f t="shared" si="128"/>
        <v>0</v>
      </c>
      <c r="H1028" s="206">
        <f t="shared" si="128"/>
        <v>1092</v>
      </c>
      <c r="I1028" s="206">
        <f t="shared" si="128"/>
        <v>1092</v>
      </c>
      <c r="J1028" s="166">
        <f t="shared" si="126"/>
        <v>1</v>
      </c>
      <c r="K1028" s="223"/>
      <c r="L1028" s="224"/>
    </row>
    <row r="1029" spans="1:12" ht="18.75">
      <c r="A1029" s="132"/>
      <c r="B1029" s="132"/>
      <c r="C1029" s="125" t="s">
        <v>228</v>
      </c>
      <c r="D1029" s="125" t="s">
        <v>766</v>
      </c>
      <c r="E1029" s="123" t="s">
        <v>1096</v>
      </c>
      <c r="F1029" s="207">
        <f>F1030</f>
        <v>1092</v>
      </c>
      <c r="G1029" s="207">
        <f t="shared" si="128"/>
        <v>0</v>
      </c>
      <c r="H1029" s="207">
        <f t="shared" si="128"/>
        <v>1092</v>
      </c>
      <c r="I1029" s="207">
        <f t="shared" si="128"/>
        <v>1092</v>
      </c>
      <c r="J1029" s="167">
        <f t="shared" si="126"/>
        <v>1</v>
      </c>
      <c r="K1029" s="223"/>
      <c r="L1029" s="224"/>
    </row>
    <row r="1030" spans="1:12" ht="18.75">
      <c r="A1030" s="132"/>
      <c r="B1030" s="132"/>
      <c r="C1030" s="125"/>
      <c r="D1030" s="125" t="s">
        <v>21</v>
      </c>
      <c r="E1030" s="124" t="s">
        <v>22</v>
      </c>
      <c r="F1030" s="115">
        <v>1092</v>
      </c>
      <c r="G1030" s="115"/>
      <c r="H1030" s="115">
        <f>SUM(F1030:G1030)</f>
        <v>1092</v>
      </c>
      <c r="I1030" s="115">
        <v>1092</v>
      </c>
      <c r="J1030" s="167">
        <f t="shared" si="126"/>
        <v>1</v>
      </c>
      <c r="K1030" s="223"/>
      <c r="L1030" s="224"/>
    </row>
    <row r="1031" spans="1:12" ht="18.75">
      <c r="A1031" s="132"/>
      <c r="B1031" s="132"/>
      <c r="C1031" s="132" t="s">
        <v>232</v>
      </c>
      <c r="D1031" s="132" t="s">
        <v>766</v>
      </c>
      <c r="E1031" s="122" t="s">
        <v>233</v>
      </c>
      <c r="F1031" s="206">
        <f>F1032</f>
        <v>41499.4</v>
      </c>
      <c r="G1031" s="206">
        <f aca="true" t="shared" si="129" ref="G1031:I1033">G1032</f>
        <v>1500</v>
      </c>
      <c r="H1031" s="206">
        <f t="shared" si="129"/>
        <v>50175.1</v>
      </c>
      <c r="I1031" s="206">
        <f t="shared" si="129"/>
        <v>50175.1</v>
      </c>
      <c r="J1031" s="166">
        <f t="shared" si="126"/>
        <v>1</v>
      </c>
      <c r="K1031" s="223"/>
      <c r="L1031" s="224"/>
    </row>
    <row r="1032" spans="1:12" ht="37.5">
      <c r="A1032" s="132"/>
      <c r="B1032" s="132"/>
      <c r="C1032" s="132" t="s">
        <v>234</v>
      </c>
      <c r="D1032" s="132"/>
      <c r="E1032" s="122" t="s">
        <v>42</v>
      </c>
      <c r="F1032" s="206">
        <f>F1033</f>
        <v>41499.4</v>
      </c>
      <c r="G1032" s="206">
        <f t="shared" si="129"/>
        <v>1500</v>
      </c>
      <c r="H1032" s="206">
        <f t="shared" si="129"/>
        <v>50175.1</v>
      </c>
      <c r="I1032" s="206">
        <f t="shared" si="129"/>
        <v>50175.1</v>
      </c>
      <c r="J1032" s="166">
        <f t="shared" si="126"/>
        <v>1</v>
      </c>
      <c r="K1032" s="223"/>
      <c r="L1032" s="224"/>
    </row>
    <row r="1033" spans="1:12" ht="18.75">
      <c r="A1033" s="132"/>
      <c r="B1033" s="132"/>
      <c r="C1033" s="125" t="s">
        <v>236</v>
      </c>
      <c r="D1033" s="125" t="s">
        <v>766</v>
      </c>
      <c r="E1033" s="123" t="s">
        <v>825</v>
      </c>
      <c r="F1033" s="207">
        <f>F1034</f>
        <v>41499.4</v>
      </c>
      <c r="G1033" s="207">
        <f t="shared" si="129"/>
        <v>1500</v>
      </c>
      <c r="H1033" s="207">
        <f t="shared" si="129"/>
        <v>50175.1</v>
      </c>
      <c r="I1033" s="207">
        <f t="shared" si="129"/>
        <v>50175.1</v>
      </c>
      <c r="J1033" s="167">
        <f t="shared" si="126"/>
        <v>1</v>
      </c>
      <c r="K1033" s="223"/>
      <c r="L1033" s="224"/>
    </row>
    <row r="1034" spans="1:12" ht="18.75">
      <c r="A1034" s="125"/>
      <c r="B1034" s="132"/>
      <c r="C1034" s="125"/>
      <c r="D1034" s="125" t="s">
        <v>21</v>
      </c>
      <c r="E1034" s="124" t="s">
        <v>22</v>
      </c>
      <c r="F1034" s="115">
        <f>41591.4-92</f>
        <v>41499.4</v>
      </c>
      <c r="G1034" s="115">
        <v>1500</v>
      </c>
      <c r="H1034" s="115">
        <v>50175.1</v>
      </c>
      <c r="I1034" s="115">
        <v>50175.1</v>
      </c>
      <c r="J1034" s="167">
        <f t="shared" si="126"/>
        <v>1</v>
      </c>
      <c r="K1034" s="223"/>
      <c r="L1034" s="224"/>
    </row>
    <row r="1035" spans="1:12" ht="18.75">
      <c r="A1035" s="125"/>
      <c r="B1035" s="132" t="s">
        <v>887</v>
      </c>
      <c r="C1035" s="132"/>
      <c r="D1035" s="132"/>
      <c r="E1035" s="134" t="s">
        <v>888</v>
      </c>
      <c r="F1035" s="130">
        <f>F1036+F1047</f>
        <v>164</v>
      </c>
      <c r="G1035" s="130">
        <f>G1036+G1047</f>
        <v>0</v>
      </c>
      <c r="H1035" s="130">
        <f>H1036+H1047</f>
        <v>164</v>
      </c>
      <c r="I1035" s="130">
        <f>I1036+I1047</f>
        <v>134.3</v>
      </c>
      <c r="J1035" s="166">
        <f t="shared" si="126"/>
        <v>0.8189024390243903</v>
      </c>
      <c r="K1035" s="223"/>
      <c r="L1035" s="224"/>
    </row>
    <row r="1036" spans="1:12" ht="18.75">
      <c r="A1036" s="125"/>
      <c r="B1036" s="125"/>
      <c r="C1036" s="132" t="s">
        <v>223</v>
      </c>
      <c r="D1036" s="132" t="s">
        <v>766</v>
      </c>
      <c r="E1036" s="122" t="s">
        <v>224</v>
      </c>
      <c r="F1036" s="130">
        <f>F1037+F1041</f>
        <v>119</v>
      </c>
      <c r="G1036" s="130">
        <f>G1037+G1041</f>
        <v>0</v>
      </c>
      <c r="H1036" s="130">
        <f>H1037+H1041</f>
        <v>119</v>
      </c>
      <c r="I1036" s="130">
        <f>I1037+I1041</f>
        <v>119</v>
      </c>
      <c r="J1036" s="166">
        <f t="shared" si="126"/>
        <v>1</v>
      </c>
      <c r="K1036" s="223"/>
      <c r="L1036" s="224"/>
    </row>
    <row r="1037" spans="1:12" ht="21.75" customHeight="1">
      <c r="A1037" s="125"/>
      <c r="B1037" s="125"/>
      <c r="C1037" s="132" t="s">
        <v>225</v>
      </c>
      <c r="D1037" s="132" t="s">
        <v>766</v>
      </c>
      <c r="E1037" s="122" t="s">
        <v>503</v>
      </c>
      <c r="F1037" s="130">
        <f>F1038</f>
        <v>14.7</v>
      </c>
      <c r="G1037" s="130">
        <f aca="true" t="shared" si="130" ref="G1037:I1039">G1038</f>
        <v>0</v>
      </c>
      <c r="H1037" s="130">
        <f t="shared" si="130"/>
        <v>14.7</v>
      </c>
      <c r="I1037" s="130">
        <f t="shared" si="130"/>
        <v>14.7</v>
      </c>
      <c r="J1037" s="166">
        <f t="shared" si="126"/>
        <v>1</v>
      </c>
      <c r="K1037" s="223"/>
      <c r="L1037" s="224"/>
    </row>
    <row r="1038" spans="1:12" ht="18.75">
      <c r="A1038" s="125"/>
      <c r="B1038" s="125"/>
      <c r="C1038" s="132" t="s">
        <v>229</v>
      </c>
      <c r="D1038" s="132"/>
      <c r="E1038" s="122" t="s">
        <v>230</v>
      </c>
      <c r="F1038" s="130">
        <f>F1039</f>
        <v>14.7</v>
      </c>
      <c r="G1038" s="130">
        <f t="shared" si="130"/>
        <v>0</v>
      </c>
      <c r="H1038" s="130">
        <f t="shared" si="130"/>
        <v>14.7</v>
      </c>
      <c r="I1038" s="130">
        <f t="shared" si="130"/>
        <v>14.7</v>
      </c>
      <c r="J1038" s="166">
        <f t="shared" si="126"/>
        <v>1</v>
      </c>
      <c r="K1038" s="223"/>
      <c r="L1038" s="224"/>
    </row>
    <row r="1039" spans="1:12" ht="18.75">
      <c r="A1039" s="125"/>
      <c r="B1039" s="125"/>
      <c r="C1039" s="125" t="s">
        <v>829</v>
      </c>
      <c r="D1039" s="125" t="s">
        <v>766</v>
      </c>
      <c r="E1039" s="123" t="s">
        <v>830</v>
      </c>
      <c r="F1039" s="207">
        <f>F1040</f>
        <v>14.7</v>
      </c>
      <c r="G1039" s="207">
        <f t="shared" si="130"/>
        <v>0</v>
      </c>
      <c r="H1039" s="207">
        <f t="shared" si="130"/>
        <v>14.7</v>
      </c>
      <c r="I1039" s="207">
        <f t="shared" si="130"/>
        <v>14.7</v>
      </c>
      <c r="J1039" s="167">
        <f t="shared" si="126"/>
        <v>1</v>
      </c>
      <c r="K1039" s="223"/>
      <c r="L1039" s="224"/>
    </row>
    <row r="1040" spans="1:12" ht="18.75">
      <c r="A1040" s="125"/>
      <c r="B1040" s="125"/>
      <c r="C1040" s="125"/>
      <c r="D1040" s="125" t="s">
        <v>21</v>
      </c>
      <c r="E1040" s="124" t="s">
        <v>22</v>
      </c>
      <c r="F1040" s="115">
        <v>14.7</v>
      </c>
      <c r="G1040" s="115"/>
      <c r="H1040" s="115">
        <f>SUM(F1040:G1040)</f>
        <v>14.7</v>
      </c>
      <c r="I1040" s="115">
        <v>14.7</v>
      </c>
      <c r="J1040" s="167">
        <f t="shared" si="126"/>
        <v>1</v>
      </c>
      <c r="K1040" s="223"/>
      <c r="L1040" s="224"/>
    </row>
    <row r="1041" spans="1:12" ht="18.75">
      <c r="A1041" s="125"/>
      <c r="B1041" s="125"/>
      <c r="C1041" s="132" t="s">
        <v>232</v>
      </c>
      <c r="D1041" s="132" t="s">
        <v>766</v>
      </c>
      <c r="E1041" s="122" t="s">
        <v>233</v>
      </c>
      <c r="F1041" s="130">
        <f>F1042</f>
        <v>104.3</v>
      </c>
      <c r="G1041" s="130">
        <f>G1042</f>
        <v>0</v>
      </c>
      <c r="H1041" s="130">
        <f>H1042</f>
        <v>104.3</v>
      </c>
      <c r="I1041" s="130">
        <f>I1042</f>
        <v>104.3</v>
      </c>
      <c r="J1041" s="166">
        <f t="shared" si="126"/>
        <v>1</v>
      </c>
      <c r="K1041" s="223"/>
      <c r="L1041" s="224"/>
    </row>
    <row r="1042" spans="1:12" ht="37.5">
      <c r="A1042" s="125"/>
      <c r="B1042" s="125"/>
      <c r="C1042" s="132" t="s">
        <v>234</v>
      </c>
      <c r="D1042" s="132"/>
      <c r="E1042" s="122" t="s">
        <v>42</v>
      </c>
      <c r="F1042" s="130">
        <f>F1045+F1043</f>
        <v>104.3</v>
      </c>
      <c r="G1042" s="130">
        <f>G1045+G1043</f>
        <v>0</v>
      </c>
      <c r="H1042" s="130">
        <f>H1045+H1043</f>
        <v>104.3</v>
      </c>
      <c r="I1042" s="130">
        <f>I1045+I1043</f>
        <v>104.3</v>
      </c>
      <c r="J1042" s="166">
        <f t="shared" si="126"/>
        <v>1</v>
      </c>
      <c r="K1042" s="223"/>
      <c r="L1042" s="224"/>
    </row>
    <row r="1043" spans="1:12" ht="18.75">
      <c r="A1043" s="125"/>
      <c r="B1043" s="125"/>
      <c r="C1043" s="125" t="s">
        <v>236</v>
      </c>
      <c r="D1043" s="125" t="s">
        <v>766</v>
      </c>
      <c r="E1043" s="123" t="s">
        <v>825</v>
      </c>
      <c r="F1043" s="115">
        <f>F1044</f>
        <v>59.5</v>
      </c>
      <c r="G1043" s="115">
        <f>G1044</f>
        <v>0</v>
      </c>
      <c r="H1043" s="115">
        <f>H1044</f>
        <v>59.5</v>
      </c>
      <c r="I1043" s="115">
        <f>I1044</f>
        <v>59.5</v>
      </c>
      <c r="J1043" s="167">
        <f t="shared" si="126"/>
        <v>1</v>
      </c>
      <c r="K1043" s="223"/>
      <c r="L1043" s="224"/>
    </row>
    <row r="1044" spans="1:12" ht="18.75">
      <c r="A1044" s="125"/>
      <c r="B1044" s="125"/>
      <c r="C1044" s="125"/>
      <c r="D1044" s="125" t="s">
        <v>21</v>
      </c>
      <c r="E1044" s="124" t="s">
        <v>22</v>
      </c>
      <c r="F1044" s="115">
        <v>59.5</v>
      </c>
      <c r="G1044" s="115"/>
      <c r="H1044" s="115">
        <f>SUM(F1044:G1044)</f>
        <v>59.5</v>
      </c>
      <c r="I1044" s="115">
        <v>59.5</v>
      </c>
      <c r="J1044" s="167">
        <f t="shared" si="126"/>
        <v>1</v>
      </c>
      <c r="K1044" s="223"/>
      <c r="L1044" s="224"/>
    </row>
    <row r="1045" spans="1:12" ht="18.75">
      <c r="A1045" s="125"/>
      <c r="B1045" s="125"/>
      <c r="C1045" s="125" t="s">
        <v>237</v>
      </c>
      <c r="D1045" s="125" t="s">
        <v>766</v>
      </c>
      <c r="E1045" s="123" t="s">
        <v>831</v>
      </c>
      <c r="F1045" s="115">
        <f>F1046</f>
        <v>44.8</v>
      </c>
      <c r="G1045" s="115">
        <f>G1046</f>
        <v>0</v>
      </c>
      <c r="H1045" s="115">
        <f>H1046</f>
        <v>44.8</v>
      </c>
      <c r="I1045" s="115">
        <f>I1046</f>
        <v>44.8</v>
      </c>
      <c r="J1045" s="167">
        <f t="shared" si="126"/>
        <v>1</v>
      </c>
      <c r="K1045" s="223"/>
      <c r="L1045" s="224"/>
    </row>
    <row r="1046" spans="1:12" ht="18.75">
      <c r="A1046" s="125"/>
      <c r="B1046" s="125"/>
      <c r="C1046" s="125"/>
      <c r="D1046" s="125" t="s">
        <v>21</v>
      </c>
      <c r="E1046" s="124" t="s">
        <v>22</v>
      </c>
      <c r="F1046" s="115">
        <v>44.8</v>
      </c>
      <c r="G1046" s="115"/>
      <c r="H1046" s="115">
        <f>SUM(F1046:G1046)</f>
        <v>44.8</v>
      </c>
      <c r="I1046" s="115">
        <v>44.8</v>
      </c>
      <c r="J1046" s="167">
        <f t="shared" si="126"/>
        <v>1</v>
      </c>
      <c r="K1046" s="223"/>
      <c r="L1046" s="224"/>
    </row>
    <row r="1047" spans="1:12" ht="37.5">
      <c r="A1047" s="125"/>
      <c r="B1047" s="125"/>
      <c r="C1047" s="132" t="s">
        <v>269</v>
      </c>
      <c r="D1047" s="132" t="s">
        <v>766</v>
      </c>
      <c r="E1047" s="122" t="s">
        <v>412</v>
      </c>
      <c r="F1047" s="130">
        <f>F1048</f>
        <v>45</v>
      </c>
      <c r="G1047" s="130">
        <f aca="true" t="shared" si="131" ref="G1047:I1050">G1048</f>
        <v>0</v>
      </c>
      <c r="H1047" s="130">
        <f t="shared" si="131"/>
        <v>45</v>
      </c>
      <c r="I1047" s="130">
        <f t="shared" si="131"/>
        <v>15.3</v>
      </c>
      <c r="J1047" s="166">
        <f aca="true" t="shared" si="132" ref="J1047:J1078">I1047/H1047</f>
        <v>0.34</v>
      </c>
      <c r="K1047" s="223"/>
      <c r="L1047" s="224"/>
    </row>
    <row r="1048" spans="1:12" ht="23.25" customHeight="1">
      <c r="A1048" s="125"/>
      <c r="B1048" s="125"/>
      <c r="C1048" s="132" t="s">
        <v>270</v>
      </c>
      <c r="D1048" s="132" t="s">
        <v>766</v>
      </c>
      <c r="E1048" s="122" t="s">
        <v>271</v>
      </c>
      <c r="F1048" s="130">
        <f>F1049</f>
        <v>45</v>
      </c>
      <c r="G1048" s="130">
        <f t="shared" si="131"/>
        <v>0</v>
      </c>
      <c r="H1048" s="130">
        <f t="shared" si="131"/>
        <v>45</v>
      </c>
      <c r="I1048" s="130">
        <f t="shared" si="131"/>
        <v>15.3</v>
      </c>
      <c r="J1048" s="166">
        <f t="shared" si="132"/>
        <v>0.34</v>
      </c>
      <c r="K1048" s="223"/>
      <c r="L1048" s="224"/>
    </row>
    <row r="1049" spans="1:12" ht="37.5">
      <c r="A1049" s="125"/>
      <c r="B1049" s="125"/>
      <c r="C1049" s="132" t="s">
        <v>272</v>
      </c>
      <c r="D1049" s="132"/>
      <c r="E1049" s="122" t="s">
        <v>273</v>
      </c>
      <c r="F1049" s="130">
        <f>F1050</f>
        <v>45</v>
      </c>
      <c r="G1049" s="130">
        <f t="shared" si="131"/>
        <v>0</v>
      </c>
      <c r="H1049" s="130">
        <f t="shared" si="131"/>
        <v>45</v>
      </c>
      <c r="I1049" s="130">
        <f t="shared" si="131"/>
        <v>15.3</v>
      </c>
      <c r="J1049" s="166">
        <f t="shared" si="132"/>
        <v>0.34</v>
      </c>
      <c r="K1049" s="223"/>
      <c r="L1049" s="224"/>
    </row>
    <row r="1050" spans="1:12" ht="18.75">
      <c r="A1050" s="125"/>
      <c r="B1050" s="125"/>
      <c r="C1050" s="125" t="s">
        <v>274</v>
      </c>
      <c r="D1050" s="125" t="s">
        <v>766</v>
      </c>
      <c r="E1050" s="123" t="s">
        <v>275</v>
      </c>
      <c r="F1050" s="115">
        <f>F1051</f>
        <v>45</v>
      </c>
      <c r="G1050" s="115">
        <f t="shared" si="131"/>
        <v>0</v>
      </c>
      <c r="H1050" s="115">
        <f t="shared" si="131"/>
        <v>45</v>
      </c>
      <c r="I1050" s="115">
        <f t="shared" si="131"/>
        <v>15.3</v>
      </c>
      <c r="J1050" s="167">
        <f t="shared" si="132"/>
        <v>0.34</v>
      </c>
      <c r="K1050" s="223"/>
      <c r="L1050" s="224"/>
    </row>
    <row r="1051" spans="1:12" ht="18.75">
      <c r="A1051" s="125"/>
      <c r="B1051" s="125"/>
      <c r="C1051" s="125"/>
      <c r="D1051" s="125" t="s">
        <v>27</v>
      </c>
      <c r="E1051" s="124" t="s">
        <v>28</v>
      </c>
      <c r="F1051" s="115">
        <v>45</v>
      </c>
      <c r="G1051" s="115"/>
      <c r="H1051" s="115">
        <f>SUM(F1051:G1051)</f>
        <v>45</v>
      </c>
      <c r="I1051" s="115">
        <v>15.3</v>
      </c>
      <c r="J1051" s="167">
        <f t="shared" si="132"/>
        <v>0.34</v>
      </c>
      <c r="K1051" s="223"/>
      <c r="L1051" s="224"/>
    </row>
    <row r="1052" spans="1:12" ht="18.75">
      <c r="A1052" s="125"/>
      <c r="B1052" s="116" t="s">
        <v>397</v>
      </c>
      <c r="C1052" s="117"/>
      <c r="D1052" s="117"/>
      <c r="E1052" s="118" t="s">
        <v>816</v>
      </c>
      <c r="F1052" s="206">
        <f>F1053</f>
        <v>600.7</v>
      </c>
      <c r="G1052" s="206">
        <f aca="true" t="shared" si="133" ref="G1052:I1056">G1053</f>
        <v>0</v>
      </c>
      <c r="H1052" s="206">
        <f t="shared" si="133"/>
        <v>600.7</v>
      </c>
      <c r="I1052" s="206">
        <f t="shared" si="133"/>
        <v>600.4</v>
      </c>
      <c r="J1052" s="166">
        <f t="shared" si="132"/>
        <v>0.9995005826535707</v>
      </c>
      <c r="K1052" s="223"/>
      <c r="L1052" s="224"/>
    </row>
    <row r="1053" spans="1:12" ht="18.75">
      <c r="A1053" s="132"/>
      <c r="B1053" s="132"/>
      <c r="C1053" s="132" t="s">
        <v>223</v>
      </c>
      <c r="D1053" s="132" t="s">
        <v>766</v>
      </c>
      <c r="E1053" s="122" t="s">
        <v>224</v>
      </c>
      <c r="F1053" s="206">
        <f>F1054</f>
        <v>600.7</v>
      </c>
      <c r="G1053" s="206">
        <f t="shared" si="133"/>
        <v>0</v>
      </c>
      <c r="H1053" s="206">
        <f t="shared" si="133"/>
        <v>600.7</v>
      </c>
      <c r="I1053" s="206">
        <f t="shared" si="133"/>
        <v>600.4</v>
      </c>
      <c r="J1053" s="166">
        <f t="shared" si="132"/>
        <v>0.9995005826535707</v>
      </c>
      <c r="K1053" s="223"/>
      <c r="L1053" s="224"/>
    </row>
    <row r="1054" spans="1:12" ht="18.75">
      <c r="A1054" s="132"/>
      <c r="B1054" s="132"/>
      <c r="C1054" s="132" t="s">
        <v>232</v>
      </c>
      <c r="D1054" s="132" t="s">
        <v>766</v>
      </c>
      <c r="E1054" s="122" t="s">
        <v>233</v>
      </c>
      <c r="F1054" s="206">
        <f>F1055</f>
        <v>600.7</v>
      </c>
      <c r="G1054" s="206">
        <f t="shared" si="133"/>
        <v>0</v>
      </c>
      <c r="H1054" s="206">
        <f t="shared" si="133"/>
        <v>600.7</v>
      </c>
      <c r="I1054" s="206">
        <f t="shared" si="133"/>
        <v>600.4</v>
      </c>
      <c r="J1054" s="166">
        <f t="shared" si="132"/>
        <v>0.9995005826535707</v>
      </c>
      <c r="K1054" s="223"/>
      <c r="L1054" s="224"/>
    </row>
    <row r="1055" spans="1:12" ht="37.5">
      <c r="A1055" s="132"/>
      <c r="B1055" s="132"/>
      <c r="C1055" s="132" t="s">
        <v>234</v>
      </c>
      <c r="D1055" s="132"/>
      <c r="E1055" s="122" t="s">
        <v>42</v>
      </c>
      <c r="F1055" s="206">
        <f>F1056</f>
        <v>600.7</v>
      </c>
      <c r="G1055" s="206">
        <f t="shared" si="133"/>
        <v>0</v>
      </c>
      <c r="H1055" s="206">
        <f t="shared" si="133"/>
        <v>600.7</v>
      </c>
      <c r="I1055" s="206">
        <f t="shared" si="133"/>
        <v>600.4</v>
      </c>
      <c r="J1055" s="166">
        <f t="shared" si="132"/>
        <v>0.9995005826535707</v>
      </c>
      <c r="K1055" s="223"/>
      <c r="L1055" s="224"/>
    </row>
    <row r="1056" spans="1:12" ht="18.75">
      <c r="A1056" s="132"/>
      <c r="B1056" s="132"/>
      <c r="C1056" s="125" t="s">
        <v>238</v>
      </c>
      <c r="D1056" s="125" t="s">
        <v>766</v>
      </c>
      <c r="E1056" s="123" t="s">
        <v>60</v>
      </c>
      <c r="F1056" s="207">
        <f>F1057</f>
        <v>600.7</v>
      </c>
      <c r="G1056" s="207">
        <f t="shared" si="133"/>
        <v>0</v>
      </c>
      <c r="H1056" s="207">
        <f t="shared" si="133"/>
        <v>600.7</v>
      </c>
      <c r="I1056" s="207">
        <f>I1057</f>
        <v>600.4</v>
      </c>
      <c r="J1056" s="167">
        <f t="shared" si="132"/>
        <v>0.9995005826535707</v>
      </c>
      <c r="K1056" s="223"/>
      <c r="L1056" s="224"/>
    </row>
    <row r="1057" spans="1:12" ht="18.75">
      <c r="A1057" s="125"/>
      <c r="B1057" s="125"/>
      <c r="C1057" s="125"/>
      <c r="D1057" s="125" t="s">
        <v>21</v>
      </c>
      <c r="E1057" s="124" t="s">
        <v>22</v>
      </c>
      <c r="F1057" s="115">
        <v>600.7</v>
      </c>
      <c r="G1057" s="115"/>
      <c r="H1057" s="115">
        <v>600.7</v>
      </c>
      <c r="I1057" s="115">
        <v>600.4</v>
      </c>
      <c r="J1057" s="167">
        <f t="shared" si="132"/>
        <v>0.9995005826535707</v>
      </c>
      <c r="K1057" s="223"/>
      <c r="L1057" s="224"/>
    </row>
    <row r="1058" spans="1:12" ht="18.75">
      <c r="A1058" s="125"/>
      <c r="B1058" s="117" t="s">
        <v>384</v>
      </c>
      <c r="C1058" s="117"/>
      <c r="D1058" s="117"/>
      <c r="E1058" s="208" t="s">
        <v>385</v>
      </c>
      <c r="F1058" s="206">
        <f>F1072</f>
        <v>600</v>
      </c>
      <c r="G1058" s="206">
        <f>G1072</f>
        <v>0</v>
      </c>
      <c r="H1058" s="206">
        <f>H1059+H1072</f>
        <v>652.7</v>
      </c>
      <c r="I1058" s="206">
        <f>I1059+I1072</f>
        <v>652.7</v>
      </c>
      <c r="J1058" s="166">
        <f t="shared" si="132"/>
        <v>1</v>
      </c>
      <c r="K1058" s="223"/>
      <c r="L1058" s="224"/>
    </row>
    <row r="1059" spans="1:12" ht="18.75">
      <c r="A1059" s="125"/>
      <c r="B1059" s="117" t="s">
        <v>388</v>
      </c>
      <c r="C1059" s="117"/>
      <c r="D1059" s="117"/>
      <c r="E1059" s="118" t="s">
        <v>389</v>
      </c>
      <c r="F1059" s="206"/>
      <c r="G1059" s="206"/>
      <c r="H1059" s="206">
        <f>H1065+H1060</f>
        <v>52.7</v>
      </c>
      <c r="I1059" s="206">
        <f>I1065+I1060</f>
        <v>52.7</v>
      </c>
      <c r="J1059" s="166">
        <f t="shared" si="132"/>
        <v>1</v>
      </c>
      <c r="K1059" s="223"/>
      <c r="L1059" s="224"/>
    </row>
    <row r="1060" spans="1:12" ht="18.75">
      <c r="A1060" s="125"/>
      <c r="B1060" s="117"/>
      <c r="C1060" s="132" t="s">
        <v>16</v>
      </c>
      <c r="D1060" s="132" t="s">
        <v>766</v>
      </c>
      <c r="E1060" s="122" t="s">
        <v>17</v>
      </c>
      <c r="F1060" s="130">
        <f>F1065</f>
        <v>0</v>
      </c>
      <c r="G1060" s="130">
        <f>G1065</f>
        <v>0</v>
      </c>
      <c r="H1060" s="130">
        <f aca="true" t="shared" si="134" ref="H1060:I1063">H1061</f>
        <v>25</v>
      </c>
      <c r="I1060" s="130">
        <f t="shared" si="134"/>
        <v>25</v>
      </c>
      <c r="J1060" s="166">
        <f t="shared" si="132"/>
        <v>1</v>
      </c>
      <c r="K1060" s="223"/>
      <c r="L1060" s="224"/>
    </row>
    <row r="1061" spans="1:12" ht="18.75">
      <c r="A1061" s="125"/>
      <c r="B1061" s="117"/>
      <c r="C1061" s="132" t="s">
        <v>18</v>
      </c>
      <c r="D1061" s="132" t="s">
        <v>766</v>
      </c>
      <c r="E1061" s="122" t="s">
        <v>19</v>
      </c>
      <c r="F1061" s="130"/>
      <c r="G1061" s="130"/>
      <c r="H1061" s="130">
        <f t="shared" si="134"/>
        <v>25</v>
      </c>
      <c r="I1061" s="130">
        <f t="shared" si="134"/>
        <v>25</v>
      </c>
      <c r="J1061" s="166">
        <f t="shared" si="132"/>
        <v>1</v>
      </c>
      <c r="K1061" s="223"/>
      <c r="L1061" s="224"/>
    </row>
    <row r="1062" spans="1:12" ht="37.5">
      <c r="A1062" s="125"/>
      <c r="B1062" s="117"/>
      <c r="C1062" s="132" t="s">
        <v>29</v>
      </c>
      <c r="D1062" s="132"/>
      <c r="E1062" s="122" t="s">
        <v>811</v>
      </c>
      <c r="F1062" s="130"/>
      <c r="G1062" s="130"/>
      <c r="H1062" s="130">
        <f t="shared" si="134"/>
        <v>25</v>
      </c>
      <c r="I1062" s="130">
        <f t="shared" si="134"/>
        <v>25</v>
      </c>
      <c r="J1062" s="166">
        <f t="shared" si="132"/>
        <v>1</v>
      </c>
      <c r="K1062" s="223"/>
      <c r="L1062" s="224"/>
    </row>
    <row r="1063" spans="1:12" ht="18.75">
      <c r="A1063" s="125"/>
      <c r="B1063" s="117"/>
      <c r="C1063" s="119" t="s">
        <v>454</v>
      </c>
      <c r="D1063" s="119"/>
      <c r="E1063" s="133" t="s">
        <v>818</v>
      </c>
      <c r="F1063" s="178"/>
      <c r="G1063" s="178"/>
      <c r="H1063" s="131">
        <f t="shared" si="134"/>
        <v>25</v>
      </c>
      <c r="I1063" s="131">
        <f t="shared" si="134"/>
        <v>25</v>
      </c>
      <c r="J1063" s="169">
        <f t="shared" si="132"/>
        <v>1</v>
      </c>
      <c r="K1063" s="223"/>
      <c r="L1063" s="224"/>
    </row>
    <row r="1064" spans="1:12" ht="18.75">
      <c r="A1064" s="125"/>
      <c r="B1064" s="117"/>
      <c r="C1064" s="119"/>
      <c r="D1064" s="119" t="s">
        <v>21</v>
      </c>
      <c r="E1064" s="120" t="s">
        <v>22</v>
      </c>
      <c r="F1064" s="178"/>
      <c r="G1064" s="178"/>
      <c r="H1064" s="131">
        <v>25</v>
      </c>
      <c r="I1064" s="131">
        <v>25</v>
      </c>
      <c r="J1064" s="169">
        <f t="shared" si="132"/>
        <v>1</v>
      </c>
      <c r="K1064" s="223"/>
      <c r="L1064" s="224"/>
    </row>
    <row r="1065" spans="1:12" ht="18.75">
      <c r="A1065" s="125"/>
      <c r="B1065" s="117"/>
      <c r="C1065" s="132" t="s">
        <v>255</v>
      </c>
      <c r="D1065" s="132" t="s">
        <v>766</v>
      </c>
      <c r="E1065" s="122" t="s">
        <v>256</v>
      </c>
      <c r="F1065" s="206"/>
      <c r="G1065" s="206"/>
      <c r="H1065" s="206">
        <f>H1066</f>
        <v>27.700000000000003</v>
      </c>
      <c r="I1065" s="206">
        <f>I1066</f>
        <v>27.700000000000003</v>
      </c>
      <c r="J1065" s="166">
        <f t="shared" si="132"/>
        <v>1</v>
      </c>
      <c r="K1065" s="223"/>
      <c r="L1065" s="224"/>
    </row>
    <row r="1066" spans="1:12" ht="18.75">
      <c r="A1066" s="125"/>
      <c r="B1066" s="117"/>
      <c r="C1066" s="132" t="s">
        <v>261</v>
      </c>
      <c r="D1066" s="132" t="s">
        <v>766</v>
      </c>
      <c r="E1066" s="122" t="s">
        <v>262</v>
      </c>
      <c r="F1066" s="206"/>
      <c r="G1066" s="206"/>
      <c r="H1066" s="206">
        <f>H1067</f>
        <v>27.700000000000003</v>
      </c>
      <c r="I1066" s="206">
        <f>I1067</f>
        <v>27.700000000000003</v>
      </c>
      <c r="J1066" s="166">
        <f t="shared" si="132"/>
        <v>1</v>
      </c>
      <c r="K1066" s="223"/>
      <c r="L1066" s="224"/>
    </row>
    <row r="1067" spans="1:12" ht="18.75">
      <c r="A1067" s="125"/>
      <c r="B1067" s="117"/>
      <c r="C1067" s="132" t="s">
        <v>263</v>
      </c>
      <c r="D1067" s="132"/>
      <c r="E1067" s="122" t="s">
        <v>264</v>
      </c>
      <c r="F1067" s="206"/>
      <c r="G1067" s="206"/>
      <c r="H1067" s="206">
        <f>H1068+H1070</f>
        <v>27.700000000000003</v>
      </c>
      <c r="I1067" s="206">
        <f>I1068+I1070</f>
        <v>27.700000000000003</v>
      </c>
      <c r="J1067" s="166">
        <f t="shared" si="132"/>
        <v>1</v>
      </c>
      <c r="K1067" s="223"/>
      <c r="L1067" s="224"/>
    </row>
    <row r="1068" spans="1:12" ht="37.5">
      <c r="A1068" s="125"/>
      <c r="B1068" s="117"/>
      <c r="C1068" s="125" t="s">
        <v>1017</v>
      </c>
      <c r="D1068" s="125" t="s">
        <v>766</v>
      </c>
      <c r="E1068" s="123" t="s">
        <v>1092</v>
      </c>
      <c r="F1068" s="206"/>
      <c r="G1068" s="206"/>
      <c r="H1068" s="207">
        <f>H1069</f>
        <v>9.6</v>
      </c>
      <c r="I1068" s="207">
        <f>I1069</f>
        <v>9.6</v>
      </c>
      <c r="J1068" s="167">
        <f t="shared" si="132"/>
        <v>1</v>
      </c>
      <c r="K1068" s="223"/>
      <c r="L1068" s="224"/>
    </row>
    <row r="1069" spans="1:12" ht="18.75">
      <c r="A1069" s="125"/>
      <c r="B1069" s="117"/>
      <c r="C1069" s="117"/>
      <c r="D1069" s="125" t="s">
        <v>21</v>
      </c>
      <c r="E1069" s="124" t="s">
        <v>22</v>
      </c>
      <c r="F1069" s="206"/>
      <c r="G1069" s="206"/>
      <c r="H1069" s="207">
        <v>9.6</v>
      </c>
      <c r="I1069" s="207">
        <v>9.6</v>
      </c>
      <c r="J1069" s="167">
        <f t="shared" si="132"/>
        <v>1</v>
      </c>
      <c r="K1069" s="223"/>
      <c r="L1069" s="224"/>
    </row>
    <row r="1070" spans="1:12" ht="37.5">
      <c r="A1070" s="125"/>
      <c r="B1070" s="117"/>
      <c r="C1070" s="119" t="s">
        <v>1017</v>
      </c>
      <c r="D1070" s="119" t="s">
        <v>766</v>
      </c>
      <c r="E1070" s="120" t="s">
        <v>1093</v>
      </c>
      <c r="F1070" s="206"/>
      <c r="G1070" s="206"/>
      <c r="H1070" s="209">
        <f>H1071</f>
        <v>18.1</v>
      </c>
      <c r="I1070" s="209">
        <f>I1071</f>
        <v>18.1</v>
      </c>
      <c r="J1070" s="169">
        <f t="shared" si="132"/>
        <v>1</v>
      </c>
      <c r="K1070" s="223"/>
      <c r="L1070" s="224"/>
    </row>
    <row r="1071" spans="1:12" ht="18.75">
      <c r="A1071" s="125"/>
      <c r="B1071" s="117"/>
      <c r="C1071" s="138"/>
      <c r="D1071" s="119" t="s">
        <v>21</v>
      </c>
      <c r="E1071" s="120" t="s">
        <v>22</v>
      </c>
      <c r="F1071" s="206"/>
      <c r="G1071" s="206"/>
      <c r="H1071" s="209">
        <v>18.1</v>
      </c>
      <c r="I1071" s="209">
        <v>18.1</v>
      </c>
      <c r="J1071" s="169">
        <f t="shared" si="132"/>
        <v>1</v>
      </c>
      <c r="K1071" s="223"/>
      <c r="L1071" s="224"/>
    </row>
    <row r="1072" spans="1:12" ht="18.75">
      <c r="A1072" s="125"/>
      <c r="B1072" s="116">
        <v>1006</v>
      </c>
      <c r="C1072" s="116"/>
      <c r="D1072" s="117"/>
      <c r="E1072" s="208" t="s">
        <v>390</v>
      </c>
      <c r="F1072" s="206">
        <f aca="true" t="shared" si="135" ref="F1072:I1076">F1073</f>
        <v>600</v>
      </c>
      <c r="G1072" s="206">
        <f t="shared" si="135"/>
        <v>0</v>
      </c>
      <c r="H1072" s="206">
        <f t="shared" si="135"/>
        <v>600</v>
      </c>
      <c r="I1072" s="206">
        <f t="shared" si="135"/>
        <v>600</v>
      </c>
      <c r="J1072" s="166">
        <f t="shared" si="132"/>
        <v>1</v>
      </c>
      <c r="K1072" s="223"/>
      <c r="L1072" s="224"/>
    </row>
    <row r="1073" spans="1:12" ht="18.75">
      <c r="A1073" s="125"/>
      <c r="B1073" s="125"/>
      <c r="C1073" s="132" t="s">
        <v>223</v>
      </c>
      <c r="D1073" s="132" t="s">
        <v>766</v>
      </c>
      <c r="E1073" s="122" t="s">
        <v>224</v>
      </c>
      <c r="F1073" s="206">
        <f t="shared" si="135"/>
        <v>600</v>
      </c>
      <c r="G1073" s="206">
        <f t="shared" si="135"/>
        <v>0</v>
      </c>
      <c r="H1073" s="206">
        <f t="shared" si="135"/>
        <v>600</v>
      </c>
      <c r="I1073" s="206">
        <f t="shared" si="135"/>
        <v>600</v>
      </c>
      <c r="J1073" s="166">
        <f t="shared" si="132"/>
        <v>1</v>
      </c>
      <c r="K1073" s="223"/>
      <c r="L1073" s="224"/>
    </row>
    <row r="1074" spans="1:12" ht="24" customHeight="1">
      <c r="A1074" s="125"/>
      <c r="B1074" s="125"/>
      <c r="C1074" s="132" t="s">
        <v>225</v>
      </c>
      <c r="D1074" s="132" t="s">
        <v>766</v>
      </c>
      <c r="E1074" s="122" t="s">
        <v>503</v>
      </c>
      <c r="F1074" s="206">
        <f t="shared" si="135"/>
        <v>600</v>
      </c>
      <c r="G1074" s="206">
        <f t="shared" si="135"/>
        <v>0</v>
      </c>
      <c r="H1074" s="206">
        <f t="shared" si="135"/>
        <v>600</v>
      </c>
      <c r="I1074" s="206">
        <f t="shared" si="135"/>
        <v>600</v>
      </c>
      <c r="J1074" s="166">
        <f t="shared" si="132"/>
        <v>1</v>
      </c>
      <c r="K1074" s="223"/>
      <c r="L1074" s="224"/>
    </row>
    <row r="1075" spans="1:12" ht="18.75">
      <c r="A1075" s="125"/>
      <c r="B1075" s="125"/>
      <c r="C1075" s="132" t="s">
        <v>229</v>
      </c>
      <c r="D1075" s="132"/>
      <c r="E1075" s="122" t="s">
        <v>230</v>
      </c>
      <c r="F1075" s="207">
        <f t="shared" si="135"/>
        <v>600</v>
      </c>
      <c r="G1075" s="207">
        <f t="shared" si="135"/>
        <v>0</v>
      </c>
      <c r="H1075" s="207">
        <f t="shared" si="135"/>
        <v>600</v>
      </c>
      <c r="I1075" s="207">
        <f t="shared" si="135"/>
        <v>600</v>
      </c>
      <c r="J1075" s="167">
        <f t="shared" si="132"/>
        <v>1</v>
      </c>
      <c r="K1075" s="223"/>
      <c r="L1075" s="224"/>
    </row>
    <row r="1076" spans="1:12" ht="18.75">
      <c r="A1076" s="125"/>
      <c r="B1076" s="125"/>
      <c r="C1076" s="125" t="s">
        <v>826</v>
      </c>
      <c r="D1076" s="125"/>
      <c r="E1076" s="124" t="s">
        <v>827</v>
      </c>
      <c r="F1076" s="207">
        <f t="shared" si="135"/>
        <v>600</v>
      </c>
      <c r="G1076" s="207">
        <f t="shared" si="135"/>
        <v>0</v>
      </c>
      <c r="H1076" s="207">
        <f t="shared" si="135"/>
        <v>600</v>
      </c>
      <c r="I1076" s="207">
        <f t="shared" si="135"/>
        <v>600</v>
      </c>
      <c r="J1076" s="167">
        <f t="shared" si="132"/>
        <v>1</v>
      </c>
      <c r="K1076" s="223"/>
      <c r="L1076" s="224"/>
    </row>
    <row r="1077" spans="1:12" ht="18.75">
      <c r="A1077" s="125"/>
      <c r="B1077" s="125"/>
      <c r="C1077" s="125"/>
      <c r="D1077" s="125" t="s">
        <v>32</v>
      </c>
      <c r="E1077" s="124" t="s">
        <v>33</v>
      </c>
      <c r="F1077" s="115">
        <v>600</v>
      </c>
      <c r="G1077" s="115"/>
      <c r="H1077" s="115">
        <v>600</v>
      </c>
      <c r="I1077" s="115">
        <v>600</v>
      </c>
      <c r="J1077" s="167">
        <f t="shared" si="132"/>
        <v>1</v>
      </c>
      <c r="K1077" s="223"/>
      <c r="L1077" s="224"/>
    </row>
    <row r="1078" spans="1:12" ht="18.75">
      <c r="A1078" s="125"/>
      <c r="B1078" s="117" t="s">
        <v>406</v>
      </c>
      <c r="C1078" s="127"/>
      <c r="D1078" s="125"/>
      <c r="E1078" s="118" t="s">
        <v>407</v>
      </c>
      <c r="F1078" s="206">
        <f>F1079+F1099</f>
        <v>29054.7</v>
      </c>
      <c r="G1078" s="206">
        <f>G1079+G1099</f>
        <v>0</v>
      </c>
      <c r="H1078" s="206">
        <f>H1079+H1099</f>
        <v>24092.3</v>
      </c>
      <c r="I1078" s="206">
        <f>I1079+I1099</f>
        <v>23946.399999999998</v>
      </c>
      <c r="J1078" s="166">
        <f t="shared" si="132"/>
        <v>0.9939441232260929</v>
      </c>
      <c r="K1078" s="223"/>
      <c r="L1078" s="224"/>
    </row>
    <row r="1079" spans="1:12" ht="18.75">
      <c r="A1079" s="125"/>
      <c r="B1079" s="117" t="s">
        <v>408</v>
      </c>
      <c r="C1079" s="142"/>
      <c r="D1079" s="117"/>
      <c r="E1079" s="118" t="s">
        <v>409</v>
      </c>
      <c r="F1079" s="206">
        <f>F1080</f>
        <v>23126</v>
      </c>
      <c r="G1079" s="206">
        <f>G1080</f>
        <v>0</v>
      </c>
      <c r="H1079" s="206">
        <f>H1080</f>
        <v>18163.5</v>
      </c>
      <c r="I1079" s="206">
        <f>I1080</f>
        <v>18161.6</v>
      </c>
      <c r="J1079" s="166">
        <f aca="true" t="shared" si="136" ref="J1079:J1106">I1079/H1079</f>
        <v>0.9998953946100696</v>
      </c>
      <c r="K1079" s="223"/>
      <c r="L1079" s="224"/>
    </row>
    <row r="1080" spans="1:12" ht="18.75">
      <c r="A1080" s="132"/>
      <c r="B1080" s="132"/>
      <c r="C1080" s="132" t="s">
        <v>223</v>
      </c>
      <c r="D1080" s="132" t="s">
        <v>766</v>
      </c>
      <c r="E1080" s="122" t="s">
        <v>224</v>
      </c>
      <c r="F1080" s="206">
        <f>F1081+F1095</f>
        <v>23126</v>
      </c>
      <c r="G1080" s="206">
        <f>G1081+G1095</f>
        <v>0</v>
      </c>
      <c r="H1080" s="206">
        <f>H1081+H1095</f>
        <v>18163.5</v>
      </c>
      <c r="I1080" s="206">
        <f>I1081+I1095</f>
        <v>18161.6</v>
      </c>
      <c r="J1080" s="166">
        <f t="shared" si="136"/>
        <v>0.9998953946100696</v>
      </c>
      <c r="K1080" s="223"/>
      <c r="L1080" s="224"/>
    </row>
    <row r="1081" spans="1:12" ht="27" customHeight="1">
      <c r="A1081" s="132"/>
      <c r="B1081" s="132"/>
      <c r="C1081" s="132" t="s">
        <v>225</v>
      </c>
      <c r="D1081" s="132" t="s">
        <v>766</v>
      </c>
      <c r="E1081" s="122" t="s">
        <v>503</v>
      </c>
      <c r="F1081" s="206">
        <f>F1082+F1087</f>
        <v>7347.4</v>
      </c>
      <c r="G1081" s="206">
        <f>G1082+G1087</f>
        <v>0</v>
      </c>
      <c r="H1081" s="206">
        <f>H1082+H1087</f>
        <v>7653.099999999999</v>
      </c>
      <c r="I1081" s="206">
        <f>I1082+I1087</f>
        <v>7651.5</v>
      </c>
      <c r="J1081" s="166">
        <f t="shared" si="136"/>
        <v>0.9997909343925991</v>
      </c>
      <c r="K1081" s="223"/>
      <c r="L1081" s="224"/>
    </row>
    <row r="1082" spans="1:12" ht="37.5">
      <c r="A1082" s="132"/>
      <c r="B1082" s="132"/>
      <c r="C1082" s="132" t="s">
        <v>226</v>
      </c>
      <c r="D1082" s="132"/>
      <c r="E1082" s="122" t="s">
        <v>227</v>
      </c>
      <c r="F1082" s="206">
        <f>F1083+F1085</f>
        <v>611.7</v>
      </c>
      <c r="G1082" s="206">
        <f>G1083+G1085</f>
        <v>0</v>
      </c>
      <c r="H1082" s="206">
        <f>H1083+H1085</f>
        <v>611.7</v>
      </c>
      <c r="I1082" s="206">
        <f>I1083+I1085</f>
        <v>611.7</v>
      </c>
      <c r="J1082" s="166">
        <f t="shared" si="136"/>
        <v>1</v>
      </c>
      <c r="K1082" s="223"/>
      <c r="L1082" s="224"/>
    </row>
    <row r="1083" spans="1:12" ht="18.75">
      <c r="A1083" s="132"/>
      <c r="B1083" s="132"/>
      <c r="C1083" s="125" t="s">
        <v>228</v>
      </c>
      <c r="D1083" s="125" t="s">
        <v>766</v>
      </c>
      <c r="E1083" s="123" t="s">
        <v>1096</v>
      </c>
      <c r="F1083" s="207">
        <f>F1084</f>
        <v>431.70000000000005</v>
      </c>
      <c r="G1083" s="207">
        <f>G1084</f>
        <v>0</v>
      </c>
      <c r="H1083" s="207">
        <f>H1084</f>
        <v>431.7</v>
      </c>
      <c r="I1083" s="207">
        <f>I1084</f>
        <v>431.7</v>
      </c>
      <c r="J1083" s="167">
        <f t="shared" si="136"/>
        <v>1</v>
      </c>
      <c r="K1083" s="223"/>
      <c r="L1083" s="224"/>
    </row>
    <row r="1084" spans="1:12" ht="18.75">
      <c r="A1084" s="125"/>
      <c r="B1084" s="125"/>
      <c r="C1084" s="125"/>
      <c r="D1084" s="125" t="s">
        <v>21</v>
      </c>
      <c r="E1084" s="124" t="s">
        <v>22</v>
      </c>
      <c r="F1084" s="115">
        <f>611.7-180</f>
        <v>431.70000000000005</v>
      </c>
      <c r="G1084" s="115"/>
      <c r="H1084" s="115">
        <v>431.7</v>
      </c>
      <c r="I1084" s="115">
        <v>431.7</v>
      </c>
      <c r="J1084" s="167">
        <f t="shared" si="136"/>
        <v>1</v>
      </c>
      <c r="K1084" s="223"/>
      <c r="L1084" s="224"/>
    </row>
    <row r="1085" spans="1:12" ht="18.75">
      <c r="A1085" s="125"/>
      <c r="B1085" s="125"/>
      <c r="C1085" s="125" t="s">
        <v>805</v>
      </c>
      <c r="D1085" s="125"/>
      <c r="E1085" s="123" t="s">
        <v>1043</v>
      </c>
      <c r="F1085" s="115">
        <f>F1086</f>
        <v>180</v>
      </c>
      <c r="G1085" s="115">
        <f>G1086</f>
        <v>0</v>
      </c>
      <c r="H1085" s="115">
        <f>H1086</f>
        <v>180</v>
      </c>
      <c r="I1085" s="115">
        <f>I1086</f>
        <v>180</v>
      </c>
      <c r="J1085" s="167">
        <f t="shared" si="136"/>
        <v>1</v>
      </c>
      <c r="K1085" s="223"/>
      <c r="L1085" s="224"/>
    </row>
    <row r="1086" spans="1:12" ht="18.75">
      <c r="A1086" s="125"/>
      <c r="B1086" s="125"/>
      <c r="C1086" s="125"/>
      <c r="D1086" s="125" t="s">
        <v>27</v>
      </c>
      <c r="E1086" s="124" t="s">
        <v>28</v>
      </c>
      <c r="F1086" s="207">
        <v>180</v>
      </c>
      <c r="G1086" s="115"/>
      <c r="H1086" s="115">
        <v>180</v>
      </c>
      <c r="I1086" s="115">
        <v>180</v>
      </c>
      <c r="J1086" s="167">
        <f t="shared" si="136"/>
        <v>1</v>
      </c>
      <c r="K1086" s="223"/>
      <c r="L1086" s="224"/>
    </row>
    <row r="1087" spans="1:12" ht="18.75">
      <c r="A1087" s="132"/>
      <c r="B1087" s="132"/>
      <c r="C1087" s="132" t="s">
        <v>229</v>
      </c>
      <c r="D1087" s="132"/>
      <c r="E1087" s="122" t="s">
        <v>1044</v>
      </c>
      <c r="F1087" s="206">
        <f>F1088+F1093</f>
        <v>6735.7</v>
      </c>
      <c r="G1087" s="206">
        <f>G1088+G1093</f>
        <v>0</v>
      </c>
      <c r="H1087" s="206">
        <f>H1088+H1093</f>
        <v>7041.4</v>
      </c>
      <c r="I1087" s="206">
        <f>I1088+I1093</f>
        <v>7039.8</v>
      </c>
      <c r="J1087" s="166">
        <f t="shared" si="136"/>
        <v>0.9997727724600223</v>
      </c>
      <c r="K1087" s="223"/>
      <c r="L1087" s="224"/>
    </row>
    <row r="1088" spans="1:12" ht="18.75">
      <c r="A1088" s="132"/>
      <c r="B1088" s="132"/>
      <c r="C1088" s="125" t="s">
        <v>231</v>
      </c>
      <c r="D1088" s="125" t="s">
        <v>766</v>
      </c>
      <c r="E1088" s="123" t="s">
        <v>828</v>
      </c>
      <c r="F1088" s="207">
        <f>SUM(F1089:F1092)</f>
        <v>5369.7</v>
      </c>
      <c r="G1088" s="207">
        <f>SUM(G1089:G1092)</f>
        <v>0</v>
      </c>
      <c r="H1088" s="207">
        <f>SUM(H1089:H1092)</f>
        <v>5675.4</v>
      </c>
      <c r="I1088" s="207">
        <f>SUM(I1089:I1092)</f>
        <v>5673.8</v>
      </c>
      <c r="J1088" s="167">
        <f t="shared" si="136"/>
        <v>0.9997180815449133</v>
      </c>
      <c r="K1088" s="223"/>
      <c r="L1088" s="224"/>
    </row>
    <row r="1089" spans="1:12" ht="37.5">
      <c r="A1089" s="125"/>
      <c r="B1089" s="125"/>
      <c r="C1089" s="125"/>
      <c r="D1089" s="125" t="s">
        <v>46</v>
      </c>
      <c r="E1089" s="124" t="s">
        <v>47</v>
      </c>
      <c r="F1089" s="115">
        <v>30.2</v>
      </c>
      <c r="G1089" s="115"/>
      <c r="H1089" s="115">
        <v>4</v>
      </c>
      <c r="I1089" s="115">
        <v>4</v>
      </c>
      <c r="J1089" s="167">
        <f t="shared" si="136"/>
        <v>1</v>
      </c>
      <c r="K1089" s="223"/>
      <c r="L1089" s="224"/>
    </row>
    <row r="1090" spans="1:12" ht="18.75">
      <c r="A1090" s="125"/>
      <c r="B1090" s="125"/>
      <c r="C1090" s="125"/>
      <c r="D1090" s="125" t="s">
        <v>27</v>
      </c>
      <c r="E1090" s="124" t="s">
        <v>28</v>
      </c>
      <c r="F1090" s="115">
        <f>1189.5-30.2</f>
        <v>1159.3</v>
      </c>
      <c r="G1090" s="115"/>
      <c r="H1090" s="115">
        <v>1138.7</v>
      </c>
      <c r="I1090" s="115">
        <v>1138.7</v>
      </c>
      <c r="J1090" s="167">
        <f t="shared" si="136"/>
        <v>1</v>
      </c>
      <c r="K1090" s="223"/>
      <c r="L1090" s="224"/>
    </row>
    <row r="1091" spans="1:12" ht="18.75">
      <c r="A1091" s="125"/>
      <c r="B1091" s="125"/>
      <c r="C1091" s="125"/>
      <c r="D1091" s="125" t="s">
        <v>32</v>
      </c>
      <c r="E1091" s="124" t="s">
        <v>33</v>
      </c>
      <c r="F1091" s="115"/>
      <c r="G1091" s="115"/>
      <c r="H1091" s="115">
        <v>154.3</v>
      </c>
      <c r="I1091" s="115">
        <v>154.3</v>
      </c>
      <c r="J1091" s="167">
        <f t="shared" si="136"/>
        <v>1</v>
      </c>
      <c r="K1091" s="223"/>
      <c r="L1091" s="224"/>
    </row>
    <row r="1092" spans="1:12" ht="18.75">
      <c r="A1092" s="125"/>
      <c r="B1092" s="125"/>
      <c r="C1092" s="125"/>
      <c r="D1092" s="125" t="s">
        <v>21</v>
      </c>
      <c r="E1092" s="124" t="s">
        <v>22</v>
      </c>
      <c r="F1092" s="115">
        <f>2727.9+440.1+1012.2</f>
        <v>4180.2</v>
      </c>
      <c r="G1092" s="115"/>
      <c r="H1092" s="115">
        <v>4378.4</v>
      </c>
      <c r="I1092" s="115">
        <v>4376.8</v>
      </c>
      <c r="J1092" s="167">
        <f t="shared" si="136"/>
        <v>0.9996345697058288</v>
      </c>
      <c r="K1092" s="223"/>
      <c r="L1092" s="224"/>
    </row>
    <row r="1093" spans="1:12" ht="18.75">
      <c r="A1093" s="132"/>
      <c r="B1093" s="132"/>
      <c r="C1093" s="125" t="s">
        <v>829</v>
      </c>
      <c r="D1093" s="125" t="s">
        <v>766</v>
      </c>
      <c r="E1093" s="123" t="s">
        <v>830</v>
      </c>
      <c r="F1093" s="207">
        <f>F1094</f>
        <v>1366</v>
      </c>
      <c r="G1093" s="207">
        <f>G1094</f>
        <v>0</v>
      </c>
      <c r="H1093" s="207">
        <f>H1094</f>
        <v>1366</v>
      </c>
      <c r="I1093" s="207">
        <f>I1094</f>
        <v>1366</v>
      </c>
      <c r="J1093" s="167">
        <f t="shared" si="136"/>
        <v>1</v>
      </c>
      <c r="K1093" s="223"/>
      <c r="L1093" s="224"/>
    </row>
    <row r="1094" spans="1:12" ht="18.75">
      <c r="A1094" s="125"/>
      <c r="B1094" s="125"/>
      <c r="C1094" s="125"/>
      <c r="D1094" s="125" t="s">
        <v>21</v>
      </c>
      <c r="E1094" s="124" t="s">
        <v>22</v>
      </c>
      <c r="F1094" s="115">
        <v>1366</v>
      </c>
      <c r="G1094" s="115"/>
      <c r="H1094" s="115">
        <v>1366</v>
      </c>
      <c r="I1094" s="115">
        <v>1366</v>
      </c>
      <c r="J1094" s="167">
        <f t="shared" si="136"/>
        <v>1</v>
      </c>
      <c r="K1094" s="223"/>
      <c r="L1094" s="224"/>
    </row>
    <row r="1095" spans="1:12" ht="18.75">
      <c r="A1095" s="132"/>
      <c r="B1095" s="132"/>
      <c r="C1095" s="132" t="s">
        <v>232</v>
      </c>
      <c r="D1095" s="132" t="s">
        <v>766</v>
      </c>
      <c r="E1095" s="122" t="s">
        <v>233</v>
      </c>
      <c r="F1095" s="206">
        <f>F1096</f>
        <v>15778.6</v>
      </c>
      <c r="G1095" s="206">
        <f aca="true" t="shared" si="137" ref="G1095:I1097">G1096</f>
        <v>0</v>
      </c>
      <c r="H1095" s="206">
        <f t="shared" si="137"/>
        <v>10510.4</v>
      </c>
      <c r="I1095" s="206">
        <f t="shared" si="137"/>
        <v>10510.1</v>
      </c>
      <c r="J1095" s="166">
        <f t="shared" si="136"/>
        <v>0.9999714568427464</v>
      </c>
      <c r="K1095" s="223"/>
      <c r="L1095" s="224"/>
    </row>
    <row r="1096" spans="1:12" ht="37.5">
      <c r="A1096" s="132"/>
      <c r="B1096" s="132"/>
      <c r="C1096" s="132" t="s">
        <v>234</v>
      </c>
      <c r="D1096" s="132"/>
      <c r="E1096" s="122" t="s">
        <v>42</v>
      </c>
      <c r="F1096" s="206">
        <f>F1097</f>
        <v>15778.6</v>
      </c>
      <c r="G1096" s="206">
        <f t="shared" si="137"/>
        <v>0</v>
      </c>
      <c r="H1096" s="206">
        <f t="shared" si="137"/>
        <v>10510.4</v>
      </c>
      <c r="I1096" s="206">
        <f t="shared" si="137"/>
        <v>10510.1</v>
      </c>
      <c r="J1096" s="166">
        <f t="shared" si="136"/>
        <v>0.9999714568427464</v>
      </c>
      <c r="K1096" s="223"/>
      <c r="L1096" s="224"/>
    </row>
    <row r="1097" spans="1:12" ht="18.75">
      <c r="A1097" s="132"/>
      <c r="B1097" s="132"/>
      <c r="C1097" s="125" t="s">
        <v>237</v>
      </c>
      <c r="D1097" s="125" t="s">
        <v>766</v>
      </c>
      <c r="E1097" s="123" t="s">
        <v>831</v>
      </c>
      <c r="F1097" s="207">
        <f>F1098</f>
        <v>15778.6</v>
      </c>
      <c r="G1097" s="207">
        <f t="shared" si="137"/>
        <v>0</v>
      </c>
      <c r="H1097" s="207">
        <f t="shared" si="137"/>
        <v>10510.4</v>
      </c>
      <c r="I1097" s="207">
        <f t="shared" si="137"/>
        <v>10510.1</v>
      </c>
      <c r="J1097" s="167">
        <f t="shared" si="136"/>
        <v>0.9999714568427464</v>
      </c>
      <c r="K1097" s="223"/>
      <c r="L1097" s="224"/>
    </row>
    <row r="1098" spans="1:12" ht="18.75">
      <c r="A1098" s="125"/>
      <c r="B1098" s="125"/>
      <c r="C1098" s="125"/>
      <c r="D1098" s="125" t="s">
        <v>21</v>
      </c>
      <c r="E1098" s="124" t="s">
        <v>22</v>
      </c>
      <c r="F1098" s="115">
        <v>15778.6</v>
      </c>
      <c r="G1098" s="115"/>
      <c r="H1098" s="115">
        <v>10510.4</v>
      </c>
      <c r="I1098" s="115">
        <v>10510.1</v>
      </c>
      <c r="J1098" s="167">
        <f t="shared" si="136"/>
        <v>0.9999714568427464</v>
      </c>
      <c r="K1098" s="223"/>
      <c r="L1098" s="224"/>
    </row>
    <row r="1099" spans="1:12" ht="18.75">
      <c r="A1099" s="125"/>
      <c r="B1099" s="116">
        <v>1105</v>
      </c>
      <c r="C1099" s="117"/>
      <c r="D1099" s="117"/>
      <c r="E1099" s="118" t="s">
        <v>410</v>
      </c>
      <c r="F1099" s="206">
        <f>F1100</f>
        <v>5928.700000000001</v>
      </c>
      <c r="G1099" s="206">
        <f aca="true" t="shared" si="138" ref="G1099:I1102">G1100</f>
        <v>0</v>
      </c>
      <c r="H1099" s="206">
        <f t="shared" si="138"/>
        <v>5928.8</v>
      </c>
      <c r="I1099" s="206">
        <f t="shared" si="138"/>
        <v>5784.8</v>
      </c>
      <c r="J1099" s="166">
        <f t="shared" si="136"/>
        <v>0.9757117797868033</v>
      </c>
      <c r="K1099" s="223"/>
      <c r="L1099" s="224"/>
    </row>
    <row r="1100" spans="1:12" ht="18.75">
      <c r="A1100" s="132"/>
      <c r="B1100" s="132"/>
      <c r="C1100" s="132" t="s">
        <v>223</v>
      </c>
      <c r="D1100" s="132" t="s">
        <v>766</v>
      </c>
      <c r="E1100" s="122" t="s">
        <v>224</v>
      </c>
      <c r="F1100" s="206">
        <f>F1101</f>
        <v>5928.700000000001</v>
      </c>
      <c r="G1100" s="206">
        <f t="shared" si="138"/>
        <v>0</v>
      </c>
      <c r="H1100" s="206">
        <f t="shared" si="138"/>
        <v>5928.8</v>
      </c>
      <c r="I1100" s="206">
        <f t="shared" si="138"/>
        <v>5784.8</v>
      </c>
      <c r="J1100" s="166">
        <f t="shared" si="136"/>
        <v>0.9757117797868033</v>
      </c>
      <c r="K1100" s="223"/>
      <c r="L1100" s="224"/>
    </row>
    <row r="1101" spans="1:12" ht="18.75">
      <c r="A1101" s="132"/>
      <c r="B1101" s="132"/>
      <c r="C1101" s="132" t="s">
        <v>232</v>
      </c>
      <c r="D1101" s="132" t="s">
        <v>766</v>
      </c>
      <c r="E1101" s="122" t="s">
        <v>233</v>
      </c>
      <c r="F1101" s="206">
        <f>F1102</f>
        <v>5928.700000000001</v>
      </c>
      <c r="G1101" s="206">
        <f t="shared" si="138"/>
        <v>0</v>
      </c>
      <c r="H1101" s="206">
        <f t="shared" si="138"/>
        <v>5928.8</v>
      </c>
      <c r="I1101" s="206">
        <f t="shared" si="138"/>
        <v>5784.8</v>
      </c>
      <c r="J1101" s="166">
        <f t="shared" si="136"/>
        <v>0.9757117797868033</v>
      </c>
      <c r="K1101" s="223"/>
      <c r="L1101" s="224"/>
    </row>
    <row r="1102" spans="1:12" ht="37.5">
      <c r="A1102" s="132"/>
      <c r="B1102" s="132"/>
      <c r="C1102" s="132" t="s">
        <v>234</v>
      </c>
      <c r="D1102" s="132"/>
      <c r="E1102" s="122" t="s">
        <v>42</v>
      </c>
      <c r="F1102" s="206">
        <f>F1103</f>
        <v>5928.700000000001</v>
      </c>
      <c r="G1102" s="206">
        <f t="shared" si="138"/>
        <v>0</v>
      </c>
      <c r="H1102" s="206">
        <f t="shared" si="138"/>
        <v>5928.8</v>
      </c>
      <c r="I1102" s="206">
        <f t="shared" si="138"/>
        <v>5784.8</v>
      </c>
      <c r="J1102" s="166">
        <f t="shared" si="136"/>
        <v>0.9757117797868033</v>
      </c>
      <c r="K1102" s="223"/>
      <c r="L1102" s="224"/>
    </row>
    <row r="1103" spans="1:12" ht="18.75">
      <c r="A1103" s="132"/>
      <c r="B1103" s="132"/>
      <c r="C1103" s="125" t="s">
        <v>235</v>
      </c>
      <c r="D1103" s="125" t="s">
        <v>766</v>
      </c>
      <c r="E1103" s="123" t="s">
        <v>45</v>
      </c>
      <c r="F1103" s="207">
        <f>F1104+F1105+F1106</f>
        <v>5928.700000000001</v>
      </c>
      <c r="G1103" s="207">
        <f>G1104+G1105+G1106</f>
        <v>0</v>
      </c>
      <c r="H1103" s="207">
        <f>H1104+H1105+H1106</f>
        <v>5928.8</v>
      </c>
      <c r="I1103" s="207">
        <f>I1104+I1105+I1106</f>
        <v>5784.8</v>
      </c>
      <c r="J1103" s="167">
        <f t="shared" si="136"/>
        <v>0.9757117797868033</v>
      </c>
      <c r="K1103" s="223"/>
      <c r="L1103" s="224"/>
    </row>
    <row r="1104" spans="1:12" ht="37.5">
      <c r="A1104" s="125"/>
      <c r="B1104" s="125"/>
      <c r="C1104" s="125"/>
      <c r="D1104" s="125" t="s">
        <v>46</v>
      </c>
      <c r="E1104" s="124" t="s">
        <v>47</v>
      </c>
      <c r="F1104" s="115">
        <f>3525.2+1.5+1053.9</f>
        <v>4580.6</v>
      </c>
      <c r="G1104" s="115"/>
      <c r="H1104" s="115">
        <v>4327.8</v>
      </c>
      <c r="I1104" s="115">
        <v>4201.1</v>
      </c>
      <c r="J1104" s="167">
        <f t="shared" si="136"/>
        <v>0.970724155460049</v>
      </c>
      <c r="K1104" s="223"/>
      <c r="L1104" s="224"/>
    </row>
    <row r="1105" spans="1:12" ht="18.75">
      <c r="A1105" s="125"/>
      <c r="B1105" s="125"/>
      <c r="C1105" s="125"/>
      <c r="D1105" s="125" t="s">
        <v>27</v>
      </c>
      <c r="E1105" s="124" t="s">
        <v>28</v>
      </c>
      <c r="F1105" s="115">
        <f>262.7+1076.8</f>
        <v>1339.5</v>
      </c>
      <c r="G1105" s="115"/>
      <c r="H1105" s="115">
        <v>1582.5</v>
      </c>
      <c r="I1105" s="115">
        <v>1565.2</v>
      </c>
      <c r="J1105" s="167">
        <f t="shared" si="136"/>
        <v>0.9890679304897315</v>
      </c>
      <c r="K1105" s="223"/>
      <c r="L1105" s="224"/>
    </row>
    <row r="1106" spans="1:12" ht="18.75">
      <c r="A1106" s="125"/>
      <c r="B1106" s="125"/>
      <c r="C1106" s="125"/>
      <c r="D1106" s="125" t="s">
        <v>62</v>
      </c>
      <c r="E1106" s="124" t="s">
        <v>63</v>
      </c>
      <c r="F1106" s="115">
        <v>8.6</v>
      </c>
      <c r="G1106" s="115"/>
      <c r="H1106" s="115">
        <v>18.5</v>
      </c>
      <c r="I1106" s="115">
        <v>18.5</v>
      </c>
      <c r="J1106" s="167">
        <f t="shared" si="136"/>
        <v>1</v>
      </c>
      <c r="K1106" s="223"/>
      <c r="L1106" s="224"/>
    </row>
    <row r="1107" spans="1:12" ht="18.75">
      <c r="A1107" s="125"/>
      <c r="B1107" s="125"/>
      <c r="C1107" s="125"/>
      <c r="D1107" s="125"/>
      <c r="E1107" s="123"/>
      <c r="F1107" s="115"/>
      <c r="G1107" s="115"/>
      <c r="H1107" s="115"/>
      <c r="I1107" s="115"/>
      <c r="J1107" s="167"/>
      <c r="K1107" s="223"/>
      <c r="L1107" s="224"/>
    </row>
    <row r="1108" spans="1:12" ht="27.75" customHeight="1">
      <c r="A1108" s="162" t="s">
        <v>411</v>
      </c>
      <c r="B1108" s="162" t="s">
        <v>766</v>
      </c>
      <c r="C1108" s="162" t="s">
        <v>766</v>
      </c>
      <c r="D1108" s="162" t="s">
        <v>766</v>
      </c>
      <c r="E1108" s="163" t="s">
        <v>763</v>
      </c>
      <c r="F1108" s="164" t="e">
        <f>F1109+#REF!+F1127</f>
        <v>#REF!</v>
      </c>
      <c r="G1108" s="164" t="e">
        <f>G1109+#REF!+G1127</f>
        <v>#REF!</v>
      </c>
      <c r="H1108" s="164">
        <f>H1109+H1127</f>
        <v>15787.9</v>
      </c>
      <c r="I1108" s="164">
        <f>I1109+I1127</f>
        <v>15767.5</v>
      </c>
      <c r="J1108" s="165">
        <f aca="true" t="shared" si="139" ref="J1108:J1134">I1108/H1108</f>
        <v>0.9987078712178314</v>
      </c>
      <c r="K1108" s="223"/>
      <c r="L1108" s="224"/>
    </row>
    <row r="1109" spans="1:12" ht="22.5" customHeight="1">
      <c r="A1109" s="125"/>
      <c r="B1109" s="117" t="s">
        <v>329</v>
      </c>
      <c r="C1109" s="117"/>
      <c r="D1109" s="117"/>
      <c r="E1109" s="118" t="s">
        <v>330</v>
      </c>
      <c r="F1109" s="130" t="e">
        <f>F1110+F1121</f>
        <v>#REF!</v>
      </c>
      <c r="G1109" s="130" t="e">
        <f>G1110+G1121</f>
        <v>#REF!</v>
      </c>
      <c r="H1109" s="130">
        <f>H1110+H1121</f>
        <v>15780.4</v>
      </c>
      <c r="I1109" s="130">
        <f>I1110+I1121</f>
        <v>15760</v>
      </c>
      <c r="J1109" s="166">
        <f t="shared" si="139"/>
        <v>0.998707257103749</v>
      </c>
      <c r="K1109" s="223"/>
      <c r="L1109" s="224"/>
    </row>
    <row r="1110" spans="1:12" ht="37.5">
      <c r="A1110" s="125"/>
      <c r="B1110" s="117" t="s">
        <v>331</v>
      </c>
      <c r="C1110" s="117"/>
      <c r="D1110" s="117"/>
      <c r="E1110" s="118" t="s">
        <v>332</v>
      </c>
      <c r="F1110" s="130">
        <f aca="true" t="shared" si="140" ref="F1110:I1111">F1111</f>
        <v>15396.500000000002</v>
      </c>
      <c r="G1110" s="130">
        <f t="shared" si="140"/>
        <v>0</v>
      </c>
      <c r="H1110" s="130">
        <f t="shared" si="140"/>
        <v>15719.199999999999</v>
      </c>
      <c r="I1110" s="130">
        <f t="shared" si="140"/>
        <v>15699.3</v>
      </c>
      <c r="J1110" s="166">
        <f t="shared" si="139"/>
        <v>0.9987340322662731</v>
      </c>
      <c r="K1110" s="223"/>
      <c r="L1110" s="224"/>
    </row>
    <row r="1111" spans="1:12" ht="37.5">
      <c r="A1111" s="132"/>
      <c r="B1111" s="132"/>
      <c r="C1111" s="132" t="s">
        <v>269</v>
      </c>
      <c r="D1111" s="132" t="s">
        <v>766</v>
      </c>
      <c r="E1111" s="122" t="s">
        <v>412</v>
      </c>
      <c r="F1111" s="130">
        <f t="shared" si="140"/>
        <v>15396.500000000002</v>
      </c>
      <c r="G1111" s="130">
        <f t="shared" si="140"/>
        <v>0</v>
      </c>
      <c r="H1111" s="130">
        <f t="shared" si="140"/>
        <v>15719.199999999999</v>
      </c>
      <c r="I1111" s="130">
        <f t="shared" si="140"/>
        <v>15699.3</v>
      </c>
      <c r="J1111" s="166">
        <f t="shared" si="139"/>
        <v>0.9987340322662731</v>
      </c>
      <c r="K1111" s="223"/>
      <c r="L1111" s="224"/>
    </row>
    <row r="1112" spans="1:12" ht="37.5">
      <c r="A1112" s="132"/>
      <c r="B1112" s="132"/>
      <c r="C1112" s="132" t="s">
        <v>276</v>
      </c>
      <c r="D1112" s="132" t="s">
        <v>766</v>
      </c>
      <c r="E1112" s="122" t="s">
        <v>277</v>
      </c>
      <c r="F1112" s="130">
        <f>F1113+F1119</f>
        <v>15396.500000000002</v>
      </c>
      <c r="G1112" s="130">
        <f>G1113+G1119</f>
        <v>0</v>
      </c>
      <c r="H1112" s="130">
        <f>H1113+H1119</f>
        <v>15719.199999999999</v>
      </c>
      <c r="I1112" s="130">
        <f>I1113+I1119</f>
        <v>15699.3</v>
      </c>
      <c r="J1112" s="166">
        <f t="shared" si="139"/>
        <v>0.9987340322662731</v>
      </c>
      <c r="K1112" s="223"/>
      <c r="L1112" s="224"/>
    </row>
    <row r="1113" spans="1:12" ht="37.5">
      <c r="A1113" s="132"/>
      <c r="B1113" s="132"/>
      <c r="C1113" s="132" t="s">
        <v>288</v>
      </c>
      <c r="D1113" s="132"/>
      <c r="E1113" s="122" t="s">
        <v>289</v>
      </c>
      <c r="F1113" s="130">
        <f>F1114</f>
        <v>15307.500000000002</v>
      </c>
      <c r="G1113" s="130">
        <f>G1114</f>
        <v>0</v>
      </c>
      <c r="H1113" s="130">
        <f>H1114</f>
        <v>15630.199999999999</v>
      </c>
      <c r="I1113" s="130">
        <f>I1114</f>
        <v>15610.3</v>
      </c>
      <c r="J1113" s="166">
        <f t="shared" si="139"/>
        <v>0.9987268237130683</v>
      </c>
      <c r="K1113" s="223"/>
      <c r="L1113" s="224"/>
    </row>
    <row r="1114" spans="1:12" ht="18.75">
      <c r="A1114" s="132"/>
      <c r="B1114" s="125"/>
      <c r="C1114" s="125" t="s">
        <v>290</v>
      </c>
      <c r="D1114" s="125" t="s">
        <v>766</v>
      </c>
      <c r="E1114" s="123" t="s">
        <v>45</v>
      </c>
      <c r="F1114" s="115">
        <f>F1115+F1116+F1118</f>
        <v>15307.500000000002</v>
      </c>
      <c r="G1114" s="115">
        <f>G1115+G1116+G1118</f>
        <v>0</v>
      </c>
      <c r="H1114" s="115">
        <f>H1115+H1116+H1118+H1117</f>
        <v>15630.199999999999</v>
      </c>
      <c r="I1114" s="115">
        <f>I1115+I1116+I1118+I1117</f>
        <v>15610.3</v>
      </c>
      <c r="J1114" s="167">
        <f t="shared" si="139"/>
        <v>0.9987268237130683</v>
      </c>
      <c r="K1114" s="223"/>
      <c r="L1114" s="224"/>
    </row>
    <row r="1115" spans="1:12" ht="37.5">
      <c r="A1115" s="125"/>
      <c r="B1115" s="125"/>
      <c r="C1115" s="125"/>
      <c r="D1115" s="125" t="s">
        <v>46</v>
      </c>
      <c r="E1115" s="124" t="s">
        <v>47</v>
      </c>
      <c r="F1115" s="115">
        <f>9728.7+0.7+2938</f>
        <v>12667.400000000001</v>
      </c>
      <c r="G1115" s="115"/>
      <c r="H1115" s="115">
        <v>13985.8</v>
      </c>
      <c r="I1115" s="115">
        <v>13972</v>
      </c>
      <c r="J1115" s="167">
        <f t="shared" si="139"/>
        <v>0.999013284903259</v>
      </c>
      <c r="K1115" s="223"/>
      <c r="L1115" s="224"/>
    </row>
    <row r="1116" spans="1:12" ht="18.75">
      <c r="A1116" s="125"/>
      <c r="B1116" s="125"/>
      <c r="C1116" s="125"/>
      <c r="D1116" s="125" t="s">
        <v>27</v>
      </c>
      <c r="E1116" s="124" t="s">
        <v>28</v>
      </c>
      <c r="F1116" s="115">
        <f>1038.3+1524.7</f>
        <v>2563</v>
      </c>
      <c r="G1116" s="115"/>
      <c r="H1116" s="115">
        <v>1558.5</v>
      </c>
      <c r="I1116" s="115">
        <v>1552.4</v>
      </c>
      <c r="J1116" s="167">
        <f t="shared" si="139"/>
        <v>0.9960859801090793</v>
      </c>
      <c r="K1116" s="223"/>
      <c r="L1116" s="224"/>
    </row>
    <row r="1117" spans="1:12" ht="18.75">
      <c r="A1117" s="125"/>
      <c r="B1117" s="125"/>
      <c r="C1117" s="125"/>
      <c r="D1117" s="125" t="s">
        <v>32</v>
      </c>
      <c r="E1117" s="124" t="s">
        <v>33</v>
      </c>
      <c r="F1117" s="115"/>
      <c r="G1117" s="115"/>
      <c r="H1117" s="115">
        <v>3</v>
      </c>
      <c r="I1117" s="115">
        <v>3</v>
      </c>
      <c r="J1117" s="167">
        <f t="shared" si="139"/>
        <v>1</v>
      </c>
      <c r="K1117" s="223"/>
      <c r="L1117" s="224"/>
    </row>
    <row r="1118" spans="1:12" ht="18.75">
      <c r="A1118" s="125"/>
      <c r="B1118" s="125"/>
      <c r="C1118" s="125"/>
      <c r="D1118" s="125" t="s">
        <v>62</v>
      </c>
      <c r="E1118" s="124" t="s">
        <v>63</v>
      </c>
      <c r="F1118" s="115">
        <f>73.4+3.7</f>
        <v>77.10000000000001</v>
      </c>
      <c r="G1118" s="115"/>
      <c r="H1118" s="115">
        <v>82.9</v>
      </c>
      <c r="I1118" s="115">
        <v>82.9</v>
      </c>
      <c r="J1118" s="167">
        <f t="shared" si="139"/>
        <v>1</v>
      </c>
      <c r="K1118" s="223"/>
      <c r="L1118" s="224"/>
    </row>
    <row r="1119" spans="1:12" ht="37.5">
      <c r="A1119" s="125"/>
      <c r="B1119" s="125"/>
      <c r="C1119" s="126" t="s">
        <v>1045</v>
      </c>
      <c r="D1119" s="126"/>
      <c r="E1119" s="146" t="s">
        <v>832</v>
      </c>
      <c r="F1119" s="168">
        <f>F1120</f>
        <v>89</v>
      </c>
      <c r="G1119" s="168">
        <f>G1120</f>
        <v>0</v>
      </c>
      <c r="H1119" s="168">
        <f>H1120</f>
        <v>89</v>
      </c>
      <c r="I1119" s="131">
        <f>I1120</f>
        <v>89</v>
      </c>
      <c r="J1119" s="169">
        <f t="shared" si="139"/>
        <v>1</v>
      </c>
      <c r="K1119" s="223"/>
      <c r="L1119" s="224"/>
    </row>
    <row r="1120" spans="1:12" ht="37.5">
      <c r="A1120" s="125"/>
      <c r="B1120" s="125"/>
      <c r="C1120" s="126"/>
      <c r="D1120" s="119" t="s">
        <v>46</v>
      </c>
      <c r="E1120" s="120" t="s">
        <v>47</v>
      </c>
      <c r="F1120" s="168">
        <v>89</v>
      </c>
      <c r="G1120" s="115"/>
      <c r="H1120" s="131">
        <f>SUM(F1120:G1120)</f>
        <v>89</v>
      </c>
      <c r="I1120" s="131">
        <v>89</v>
      </c>
      <c r="J1120" s="169">
        <f t="shared" si="139"/>
        <v>1</v>
      </c>
      <c r="K1120" s="223"/>
      <c r="L1120" s="224"/>
    </row>
    <row r="1121" spans="1:12" ht="18.75">
      <c r="A1121" s="125"/>
      <c r="B1121" s="116" t="s">
        <v>333</v>
      </c>
      <c r="C1121" s="117"/>
      <c r="D1121" s="117"/>
      <c r="E1121" s="118" t="s">
        <v>334</v>
      </c>
      <c r="F1121" s="130" t="e">
        <f>F1122</f>
        <v>#REF!</v>
      </c>
      <c r="G1121" s="130" t="e">
        <f aca="true" t="shared" si="141" ref="G1121:I1124">G1122</f>
        <v>#REF!</v>
      </c>
      <c r="H1121" s="130">
        <f t="shared" si="141"/>
        <v>61.2</v>
      </c>
      <c r="I1121" s="130">
        <f t="shared" si="141"/>
        <v>60.7</v>
      </c>
      <c r="J1121" s="166">
        <f t="shared" si="139"/>
        <v>0.9918300653594772</v>
      </c>
      <c r="K1121" s="223"/>
      <c r="L1121" s="224"/>
    </row>
    <row r="1122" spans="1:12" ht="37.5">
      <c r="A1122" s="132"/>
      <c r="B1122" s="132"/>
      <c r="C1122" s="132" t="s">
        <v>269</v>
      </c>
      <c r="D1122" s="132" t="s">
        <v>766</v>
      </c>
      <c r="E1122" s="122" t="s">
        <v>412</v>
      </c>
      <c r="F1122" s="130" t="e">
        <f>F1123</f>
        <v>#REF!</v>
      </c>
      <c r="G1122" s="130" t="e">
        <f t="shared" si="141"/>
        <v>#REF!</v>
      </c>
      <c r="H1122" s="130">
        <f t="shared" si="141"/>
        <v>61.2</v>
      </c>
      <c r="I1122" s="130">
        <f t="shared" si="141"/>
        <v>60.7</v>
      </c>
      <c r="J1122" s="166">
        <f t="shared" si="139"/>
        <v>0.9918300653594772</v>
      </c>
      <c r="K1122" s="223"/>
      <c r="L1122" s="224"/>
    </row>
    <row r="1123" spans="1:12" ht="23.25" customHeight="1">
      <c r="A1123" s="132"/>
      <c r="B1123" s="132"/>
      <c r="C1123" s="132" t="s">
        <v>270</v>
      </c>
      <c r="D1123" s="132" t="s">
        <v>766</v>
      </c>
      <c r="E1123" s="122" t="s">
        <v>271</v>
      </c>
      <c r="F1123" s="130" t="e">
        <f>F1124</f>
        <v>#REF!</v>
      </c>
      <c r="G1123" s="130" t="e">
        <f t="shared" si="141"/>
        <v>#REF!</v>
      </c>
      <c r="H1123" s="130">
        <f t="shared" si="141"/>
        <v>61.2</v>
      </c>
      <c r="I1123" s="130">
        <f t="shared" si="141"/>
        <v>60.7</v>
      </c>
      <c r="J1123" s="166">
        <f t="shared" si="139"/>
        <v>0.9918300653594772</v>
      </c>
      <c r="K1123" s="223"/>
      <c r="L1123" s="224"/>
    </row>
    <row r="1124" spans="1:12" ht="37.5">
      <c r="A1124" s="132"/>
      <c r="B1124" s="132"/>
      <c r="C1124" s="132" t="s">
        <v>272</v>
      </c>
      <c r="D1124" s="132"/>
      <c r="E1124" s="122" t="s">
        <v>273</v>
      </c>
      <c r="F1124" s="130" t="e">
        <f>F1125</f>
        <v>#REF!</v>
      </c>
      <c r="G1124" s="130" t="e">
        <f t="shared" si="141"/>
        <v>#REF!</v>
      </c>
      <c r="H1124" s="130">
        <f t="shared" si="141"/>
        <v>61.2</v>
      </c>
      <c r="I1124" s="130">
        <f t="shared" si="141"/>
        <v>60.7</v>
      </c>
      <c r="J1124" s="166">
        <f t="shared" si="139"/>
        <v>0.9918300653594772</v>
      </c>
      <c r="K1124" s="223"/>
      <c r="L1124" s="224"/>
    </row>
    <row r="1125" spans="1:12" ht="18.75">
      <c r="A1125" s="132"/>
      <c r="B1125" s="132"/>
      <c r="C1125" s="125" t="s">
        <v>274</v>
      </c>
      <c r="D1125" s="125" t="s">
        <v>766</v>
      </c>
      <c r="E1125" s="123" t="s">
        <v>275</v>
      </c>
      <c r="F1125" s="115" t="e">
        <f>#REF!+F1126</f>
        <v>#REF!</v>
      </c>
      <c r="G1125" s="115" t="e">
        <f>#REF!+G1126</f>
        <v>#REF!</v>
      </c>
      <c r="H1125" s="115">
        <f>H1126</f>
        <v>61.2</v>
      </c>
      <c r="I1125" s="115">
        <f>I1126</f>
        <v>60.7</v>
      </c>
      <c r="J1125" s="167">
        <f t="shared" si="139"/>
        <v>0.9918300653594772</v>
      </c>
      <c r="K1125" s="223"/>
      <c r="L1125" s="224"/>
    </row>
    <row r="1126" spans="1:12" ht="18.75">
      <c r="A1126" s="125"/>
      <c r="B1126" s="125"/>
      <c r="C1126" s="125"/>
      <c r="D1126" s="125" t="s">
        <v>27</v>
      </c>
      <c r="E1126" s="124" t="s">
        <v>28</v>
      </c>
      <c r="F1126" s="115">
        <v>93.6</v>
      </c>
      <c r="G1126" s="115"/>
      <c r="H1126" s="115">
        <v>61.2</v>
      </c>
      <c r="I1126" s="115">
        <v>60.7</v>
      </c>
      <c r="J1126" s="167">
        <f t="shared" si="139"/>
        <v>0.9918300653594772</v>
      </c>
      <c r="K1126" s="223"/>
      <c r="L1126" s="224"/>
    </row>
    <row r="1127" spans="1:12" ht="18.75">
      <c r="A1127" s="125"/>
      <c r="B1127" s="117" t="s">
        <v>374</v>
      </c>
      <c r="C1127" s="117"/>
      <c r="D1127" s="117"/>
      <c r="E1127" s="118" t="s">
        <v>375</v>
      </c>
      <c r="F1127" s="130">
        <f aca="true" t="shared" si="142" ref="F1127:I1132">F1128</f>
        <v>60</v>
      </c>
      <c r="G1127" s="130">
        <f t="shared" si="142"/>
        <v>0</v>
      </c>
      <c r="H1127" s="130">
        <f t="shared" si="142"/>
        <v>7.5</v>
      </c>
      <c r="I1127" s="130">
        <f t="shared" si="142"/>
        <v>7.5</v>
      </c>
      <c r="J1127" s="166">
        <f t="shared" si="139"/>
        <v>1</v>
      </c>
      <c r="K1127" s="223"/>
      <c r="L1127" s="224"/>
    </row>
    <row r="1128" spans="1:12" ht="18.75">
      <c r="A1128" s="125"/>
      <c r="B1128" s="132" t="s">
        <v>887</v>
      </c>
      <c r="C1128" s="132"/>
      <c r="D1128" s="132"/>
      <c r="E1128" s="134" t="s">
        <v>888</v>
      </c>
      <c r="F1128" s="130">
        <f t="shared" si="142"/>
        <v>60</v>
      </c>
      <c r="G1128" s="130">
        <f t="shared" si="142"/>
        <v>0</v>
      </c>
      <c r="H1128" s="130">
        <f t="shared" si="142"/>
        <v>7.5</v>
      </c>
      <c r="I1128" s="130">
        <f t="shared" si="142"/>
        <v>7.5</v>
      </c>
      <c r="J1128" s="166">
        <f t="shared" si="139"/>
        <v>1</v>
      </c>
      <c r="K1128" s="223"/>
      <c r="L1128" s="224"/>
    </row>
    <row r="1129" spans="1:12" ht="37.5">
      <c r="A1129" s="125"/>
      <c r="B1129" s="125"/>
      <c r="C1129" s="132" t="s">
        <v>269</v>
      </c>
      <c r="D1129" s="132" t="s">
        <v>766</v>
      </c>
      <c r="E1129" s="122" t="s">
        <v>412</v>
      </c>
      <c r="F1129" s="130">
        <f t="shared" si="142"/>
        <v>60</v>
      </c>
      <c r="G1129" s="130">
        <f t="shared" si="142"/>
        <v>0</v>
      </c>
      <c r="H1129" s="130">
        <f t="shared" si="142"/>
        <v>7.5</v>
      </c>
      <c r="I1129" s="130">
        <f t="shared" si="142"/>
        <v>7.5</v>
      </c>
      <c r="J1129" s="166">
        <f t="shared" si="139"/>
        <v>1</v>
      </c>
      <c r="K1129" s="223"/>
      <c r="L1129" s="224"/>
    </row>
    <row r="1130" spans="1:12" ht="23.25" customHeight="1">
      <c r="A1130" s="125"/>
      <c r="B1130" s="125"/>
      <c r="C1130" s="132" t="s">
        <v>270</v>
      </c>
      <c r="D1130" s="132" t="s">
        <v>766</v>
      </c>
      <c r="E1130" s="122" t="s">
        <v>271</v>
      </c>
      <c r="F1130" s="130">
        <f t="shared" si="142"/>
        <v>60</v>
      </c>
      <c r="G1130" s="130">
        <f t="shared" si="142"/>
        <v>0</v>
      </c>
      <c r="H1130" s="130">
        <f t="shared" si="142"/>
        <v>7.5</v>
      </c>
      <c r="I1130" s="130">
        <f t="shared" si="142"/>
        <v>7.5</v>
      </c>
      <c r="J1130" s="166">
        <f t="shared" si="139"/>
        <v>1</v>
      </c>
      <c r="K1130" s="223"/>
      <c r="L1130" s="224"/>
    </row>
    <row r="1131" spans="1:12" ht="37.5">
      <c r="A1131" s="125"/>
      <c r="B1131" s="125"/>
      <c r="C1131" s="132" t="s">
        <v>272</v>
      </c>
      <c r="D1131" s="132"/>
      <c r="E1131" s="122" t="s">
        <v>273</v>
      </c>
      <c r="F1131" s="130">
        <f t="shared" si="142"/>
        <v>60</v>
      </c>
      <c r="G1131" s="130">
        <f t="shared" si="142"/>
        <v>0</v>
      </c>
      <c r="H1131" s="130">
        <f t="shared" si="142"/>
        <v>7.5</v>
      </c>
      <c r="I1131" s="130">
        <f t="shared" si="142"/>
        <v>7.5</v>
      </c>
      <c r="J1131" s="166">
        <f t="shared" si="139"/>
        <v>1</v>
      </c>
      <c r="K1131" s="223"/>
      <c r="L1131" s="224"/>
    </row>
    <row r="1132" spans="1:12" ht="18.75">
      <c r="A1132" s="125"/>
      <c r="B1132" s="125"/>
      <c r="C1132" s="125" t="s">
        <v>274</v>
      </c>
      <c r="D1132" s="125" t="s">
        <v>766</v>
      </c>
      <c r="E1132" s="123" t="s">
        <v>275</v>
      </c>
      <c r="F1132" s="115">
        <f t="shared" si="142"/>
        <v>60</v>
      </c>
      <c r="G1132" s="115">
        <f t="shared" si="142"/>
        <v>0</v>
      </c>
      <c r="H1132" s="115">
        <f t="shared" si="142"/>
        <v>7.5</v>
      </c>
      <c r="I1132" s="115">
        <f t="shared" si="142"/>
        <v>7.5</v>
      </c>
      <c r="J1132" s="167">
        <f t="shared" si="139"/>
        <v>1</v>
      </c>
      <c r="K1132" s="223"/>
      <c r="L1132" s="224"/>
    </row>
    <row r="1133" spans="1:12" ht="18.75">
      <c r="A1133" s="125"/>
      <c r="B1133" s="125"/>
      <c r="C1133" s="125"/>
      <c r="D1133" s="125" t="s">
        <v>27</v>
      </c>
      <c r="E1133" s="124" t="s">
        <v>28</v>
      </c>
      <c r="F1133" s="115">
        <v>60</v>
      </c>
      <c r="G1133" s="115"/>
      <c r="H1133" s="115">
        <v>7.5</v>
      </c>
      <c r="I1133" s="115">
        <v>7.5</v>
      </c>
      <c r="J1133" s="167">
        <f t="shared" si="139"/>
        <v>1</v>
      </c>
      <c r="K1133" s="223"/>
      <c r="L1133" s="224"/>
    </row>
    <row r="1134" spans="1:12" ht="29.25" customHeight="1">
      <c r="A1134" s="253" t="s">
        <v>833</v>
      </c>
      <c r="B1134" s="253"/>
      <c r="C1134" s="253"/>
      <c r="D1134" s="253"/>
      <c r="E1134" s="253"/>
      <c r="F1134" s="130" t="e">
        <f>F13+F32+F61+F541+F575+F615+F857+F1015+F1108</f>
        <v>#REF!</v>
      </c>
      <c r="G1134" s="130" t="e">
        <f>G13+G32+G61+G541+G575+G615+G857+G1015+G1108</f>
        <v>#REF!</v>
      </c>
      <c r="H1134" s="130">
        <f>H13+H32+H61+H541+H575+H615+H857+H1015+H1108</f>
        <v>2709872.19371</v>
      </c>
      <c r="I1134" s="130">
        <f>I13+I32+I61+I541+I575+I615+I857+I1015+I1108</f>
        <v>2465530.8079000004</v>
      </c>
      <c r="J1134" s="166">
        <f t="shared" si="139"/>
        <v>0.9098328746362464</v>
      </c>
      <c r="K1134" s="223"/>
      <c r="L1134" s="224"/>
    </row>
  </sheetData>
  <sheetProtection/>
  <mergeCells count="8">
    <mergeCell ref="A8:J8"/>
    <mergeCell ref="A1134:E1134"/>
    <mergeCell ref="I10:I11"/>
    <mergeCell ref="H10:H11"/>
    <mergeCell ref="A10:A11"/>
    <mergeCell ref="E10:E11"/>
    <mergeCell ref="B10:D10"/>
    <mergeCell ref="J10:J11"/>
  </mergeCells>
  <printOptions/>
  <pageMargins left="0.7874015748031497" right="0.7874015748031497" top="1.1811023622047245" bottom="0.3937007874015748" header="0.5118110236220472" footer="0.31496062992125984"/>
  <pageSetup fitToHeight="0" fitToWidth="1" horizontalDpi="600" verticalDpi="600" orientation="landscape" paperSize="9" scale="47"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116"/>
  <sheetViews>
    <sheetView view="pageLayout" zoomScaleNormal="90" workbookViewId="0" topLeftCell="A1">
      <selection activeCell="F14" sqref="F14"/>
    </sheetView>
  </sheetViews>
  <sheetFormatPr defaultColWidth="9.00390625" defaultRowHeight="12.75"/>
  <cols>
    <col min="1" max="1" width="9.125" style="24" customWidth="1"/>
    <col min="2" max="2" width="10.00390625" style="25" customWidth="1"/>
    <col min="3" max="3" width="69.375" style="30" customWidth="1"/>
    <col min="4" max="4" width="19.25390625" style="24" customWidth="1"/>
    <col min="5" max="5" width="15.875" style="24" customWidth="1"/>
    <col min="6" max="6" width="16.875" style="24" customWidth="1"/>
    <col min="7" max="16384" width="9.125" style="24" customWidth="1"/>
  </cols>
  <sheetData>
    <row r="1" spans="3:5" ht="15.75">
      <c r="C1" s="26"/>
      <c r="D1" s="26"/>
      <c r="E1" s="227" t="s">
        <v>457</v>
      </c>
    </row>
    <row r="2" spans="3:5" ht="15.75">
      <c r="C2" s="26"/>
      <c r="D2" s="26"/>
      <c r="E2" s="228" t="s">
        <v>458</v>
      </c>
    </row>
    <row r="3" spans="3:5" ht="15.75">
      <c r="C3" s="26"/>
      <c r="D3" s="26"/>
      <c r="E3" s="228" t="s">
        <v>459</v>
      </c>
    </row>
    <row r="4" spans="3:5" ht="15.75">
      <c r="C4" s="27"/>
      <c r="D4" s="28"/>
      <c r="E4" s="29" t="s">
        <v>1099</v>
      </c>
    </row>
    <row r="5" spans="1:3" ht="19.5" customHeight="1">
      <c r="A5" s="264"/>
      <c r="B5" s="264"/>
      <c r="C5" s="264"/>
    </row>
    <row r="6" spans="1:6" ht="44.25" customHeight="1">
      <c r="A6" s="265" t="s">
        <v>1046</v>
      </c>
      <c r="B6" s="265"/>
      <c r="C6" s="265"/>
      <c r="D6" s="265"/>
      <c r="E6" s="265"/>
      <c r="F6" s="265"/>
    </row>
    <row r="7" spans="1:6" ht="18.75" customHeight="1">
      <c r="A7" s="233"/>
      <c r="B7" s="234"/>
      <c r="C7" s="235"/>
      <c r="D7" s="236"/>
      <c r="E7" s="233"/>
      <c r="F7" s="236" t="s">
        <v>1</v>
      </c>
    </row>
    <row r="8" spans="1:6" ht="15.75" customHeight="1">
      <c r="A8" s="266" t="s">
        <v>460</v>
      </c>
      <c r="B8" s="266" t="s">
        <v>461</v>
      </c>
      <c r="C8" s="267" t="s">
        <v>462</v>
      </c>
      <c r="D8" s="268" t="s">
        <v>455</v>
      </c>
      <c r="E8" s="268" t="s">
        <v>492</v>
      </c>
      <c r="F8" s="268" t="s">
        <v>463</v>
      </c>
    </row>
    <row r="9" spans="1:6" ht="38.25" customHeight="1">
      <c r="A9" s="266"/>
      <c r="B9" s="266"/>
      <c r="C9" s="267"/>
      <c r="D9" s="269"/>
      <c r="E9" s="270"/>
      <c r="F9" s="270"/>
    </row>
    <row r="10" spans="1:6" ht="18.75">
      <c r="A10" s="17" t="s">
        <v>464</v>
      </c>
      <c r="B10" s="17" t="s">
        <v>465</v>
      </c>
      <c r="C10" s="237">
        <v>3</v>
      </c>
      <c r="D10" s="238">
        <v>4</v>
      </c>
      <c r="E10" s="238">
        <v>5</v>
      </c>
      <c r="F10" s="238">
        <v>6</v>
      </c>
    </row>
    <row r="11" spans="1:8" s="31" customFormat="1" ht="18.75">
      <c r="A11" s="17" t="s">
        <v>466</v>
      </c>
      <c r="B11" s="17" t="s">
        <v>467</v>
      </c>
      <c r="C11" s="18" t="s">
        <v>330</v>
      </c>
      <c r="D11" s="10">
        <f>SUM(D12:D18)</f>
        <v>202433.8</v>
      </c>
      <c r="E11" s="23">
        <f>SUM(E12:E18)</f>
        <v>195627.4</v>
      </c>
      <c r="F11" s="22">
        <f aca="true" t="shared" si="0" ref="F11:F59">E11/D11</f>
        <v>0.9663771563839636</v>
      </c>
      <c r="G11" s="225"/>
      <c r="H11" s="226"/>
    </row>
    <row r="12" spans="1:8" ht="56.25">
      <c r="A12" s="15" t="s">
        <v>466</v>
      </c>
      <c r="B12" s="239" t="s">
        <v>468</v>
      </c>
      <c r="C12" s="240" t="s">
        <v>340</v>
      </c>
      <c r="D12" s="147">
        <v>3003.6</v>
      </c>
      <c r="E12" s="241">
        <v>3003.6</v>
      </c>
      <c r="F12" s="242">
        <f t="shared" si="0"/>
        <v>1</v>
      </c>
      <c r="G12" s="225"/>
      <c r="H12" s="226"/>
    </row>
    <row r="13" spans="1:8" ht="56.25">
      <c r="A13" s="15" t="s">
        <v>466</v>
      </c>
      <c r="B13" s="239" t="s">
        <v>469</v>
      </c>
      <c r="C13" s="240" t="s">
        <v>337</v>
      </c>
      <c r="D13" s="147">
        <v>11800.7</v>
      </c>
      <c r="E13" s="241">
        <v>11381.5</v>
      </c>
      <c r="F13" s="242">
        <f t="shared" si="0"/>
        <v>0.9644766835865668</v>
      </c>
      <c r="G13" s="225"/>
      <c r="H13" s="226"/>
    </row>
    <row r="14" spans="1:8" ht="75">
      <c r="A14" s="15" t="s">
        <v>466</v>
      </c>
      <c r="B14" s="239" t="s">
        <v>470</v>
      </c>
      <c r="C14" s="240" t="s">
        <v>342</v>
      </c>
      <c r="D14" s="147">
        <v>108539.1</v>
      </c>
      <c r="E14" s="241">
        <v>108149.2</v>
      </c>
      <c r="F14" s="242">
        <f t="shared" si="0"/>
        <v>0.9964077461486228</v>
      </c>
      <c r="G14" s="225"/>
      <c r="H14" s="226"/>
    </row>
    <row r="15" spans="1:8" ht="18.75">
      <c r="A15" s="15" t="s">
        <v>466</v>
      </c>
      <c r="B15" s="239" t="s">
        <v>471</v>
      </c>
      <c r="C15" s="240" t="s">
        <v>416</v>
      </c>
      <c r="D15" s="147">
        <v>476.3</v>
      </c>
      <c r="E15" s="241">
        <v>156.5</v>
      </c>
      <c r="F15" s="242">
        <f t="shared" si="0"/>
        <v>0.32857442788158725</v>
      </c>
      <c r="G15" s="225"/>
      <c r="H15" s="226"/>
    </row>
    <row r="16" spans="1:8" ht="56.25">
      <c r="A16" s="15" t="s">
        <v>466</v>
      </c>
      <c r="B16" s="239" t="s">
        <v>472</v>
      </c>
      <c r="C16" s="240" t="s">
        <v>332</v>
      </c>
      <c r="D16" s="147">
        <v>21913.9</v>
      </c>
      <c r="E16" s="241">
        <v>21748.2</v>
      </c>
      <c r="F16" s="242">
        <f t="shared" si="0"/>
        <v>0.9924385892059377</v>
      </c>
      <c r="G16" s="225"/>
      <c r="H16" s="226"/>
    </row>
    <row r="17" spans="1:8" ht="18.75">
      <c r="A17" s="15" t="s">
        <v>466</v>
      </c>
      <c r="B17" s="239" t="s">
        <v>479</v>
      </c>
      <c r="C17" s="240" t="s">
        <v>902</v>
      </c>
      <c r="D17" s="147">
        <v>349.3</v>
      </c>
      <c r="E17" s="241">
        <v>349.3</v>
      </c>
      <c r="F17" s="242">
        <f t="shared" si="0"/>
        <v>1</v>
      </c>
      <c r="G17" s="225"/>
      <c r="H17" s="226"/>
    </row>
    <row r="18" spans="1:8" ht="18.75">
      <c r="A18" s="15" t="s">
        <v>466</v>
      </c>
      <c r="B18" s="239" t="s">
        <v>474</v>
      </c>
      <c r="C18" s="240" t="s">
        <v>334</v>
      </c>
      <c r="D18" s="147">
        <v>56350.9</v>
      </c>
      <c r="E18" s="241">
        <v>50839.1</v>
      </c>
      <c r="F18" s="242">
        <f t="shared" si="0"/>
        <v>0.9021878976200912</v>
      </c>
      <c r="G18" s="225"/>
      <c r="H18" s="226"/>
    </row>
    <row r="19" spans="1:8" s="31" customFormat="1" ht="37.5">
      <c r="A19" s="17" t="s">
        <v>469</v>
      </c>
      <c r="B19" s="17" t="s">
        <v>467</v>
      </c>
      <c r="C19" s="18" t="s">
        <v>344</v>
      </c>
      <c r="D19" s="10">
        <f>SUM(D20:D22)</f>
        <v>22842.2</v>
      </c>
      <c r="E19" s="23">
        <f>SUM(E20:E22)</f>
        <v>22441.2</v>
      </c>
      <c r="F19" s="22">
        <f t="shared" si="0"/>
        <v>0.9824447732705256</v>
      </c>
      <c r="G19" s="225"/>
      <c r="H19" s="226"/>
    </row>
    <row r="20" spans="1:8" ht="33.75" customHeight="1">
      <c r="A20" s="15" t="s">
        <v>469</v>
      </c>
      <c r="B20" s="239" t="s">
        <v>475</v>
      </c>
      <c r="C20" s="240" t="s">
        <v>476</v>
      </c>
      <c r="D20" s="147">
        <v>11617.5</v>
      </c>
      <c r="E20" s="241">
        <v>11561</v>
      </c>
      <c r="F20" s="242">
        <f t="shared" si="0"/>
        <v>0.9951366472993329</v>
      </c>
      <c r="G20" s="225"/>
      <c r="H20" s="226"/>
    </row>
    <row r="21" spans="1:8" ht="20.25" customHeight="1">
      <c r="A21" s="15" t="s">
        <v>469</v>
      </c>
      <c r="B21" s="239" t="s">
        <v>477</v>
      </c>
      <c r="C21" s="240" t="s">
        <v>348</v>
      </c>
      <c r="D21" s="147">
        <v>7130</v>
      </c>
      <c r="E21" s="241">
        <v>7125.3</v>
      </c>
      <c r="F21" s="242">
        <f t="shared" si="0"/>
        <v>0.9993408134642356</v>
      </c>
      <c r="G21" s="225"/>
      <c r="H21" s="226"/>
    </row>
    <row r="22" spans="1:8" ht="30.75" customHeight="1">
      <c r="A22" s="15" t="s">
        <v>469</v>
      </c>
      <c r="B22" s="239" t="s">
        <v>478</v>
      </c>
      <c r="C22" s="240" t="s">
        <v>350</v>
      </c>
      <c r="D22" s="147">
        <v>4094.7</v>
      </c>
      <c r="E22" s="241">
        <v>3754.9</v>
      </c>
      <c r="F22" s="242">
        <f t="shared" si="0"/>
        <v>0.9170146775099519</v>
      </c>
      <c r="G22" s="225"/>
      <c r="H22" s="226"/>
    </row>
    <row r="23" spans="1:8" s="31" customFormat="1" ht="18.75">
      <c r="A23" s="17" t="s">
        <v>470</v>
      </c>
      <c r="B23" s="17" t="s">
        <v>467</v>
      </c>
      <c r="C23" s="18" t="s">
        <v>352</v>
      </c>
      <c r="D23" s="10">
        <f>SUM(D24:D29)</f>
        <v>279333.8</v>
      </c>
      <c r="E23" s="23">
        <f>SUM(E24:E29)</f>
        <v>276210.5</v>
      </c>
      <c r="F23" s="22">
        <f t="shared" si="0"/>
        <v>0.9888187537634185</v>
      </c>
      <c r="G23" s="225"/>
      <c r="H23" s="226"/>
    </row>
    <row r="24" spans="1:8" s="31" customFormat="1" ht="15.75" customHeight="1">
      <c r="A24" s="15" t="s">
        <v>470</v>
      </c>
      <c r="B24" s="15" t="s">
        <v>472</v>
      </c>
      <c r="C24" s="240" t="s">
        <v>778</v>
      </c>
      <c r="D24" s="243">
        <v>45</v>
      </c>
      <c r="E24" s="244">
        <v>45</v>
      </c>
      <c r="F24" s="242">
        <f t="shared" si="0"/>
        <v>1</v>
      </c>
      <c r="G24" s="225"/>
      <c r="H24" s="226"/>
    </row>
    <row r="25" spans="1:8" ht="18.75">
      <c r="A25" s="15" t="s">
        <v>470</v>
      </c>
      <c r="B25" s="239" t="s">
        <v>479</v>
      </c>
      <c r="C25" s="240" t="s">
        <v>355</v>
      </c>
      <c r="D25" s="147">
        <v>3396.1</v>
      </c>
      <c r="E25" s="241">
        <v>3395</v>
      </c>
      <c r="F25" s="242">
        <f t="shared" si="0"/>
        <v>0.9996760990547982</v>
      </c>
      <c r="G25" s="225"/>
      <c r="H25" s="226"/>
    </row>
    <row r="26" spans="1:8" ht="18.75" hidden="1">
      <c r="A26" s="15" t="s">
        <v>470</v>
      </c>
      <c r="B26" s="239" t="s">
        <v>480</v>
      </c>
      <c r="C26" s="240" t="s">
        <v>481</v>
      </c>
      <c r="D26" s="147">
        <v>0</v>
      </c>
      <c r="E26" s="241">
        <v>0</v>
      </c>
      <c r="F26" s="242" t="e">
        <f t="shared" si="0"/>
        <v>#DIV/0!</v>
      </c>
      <c r="G26" s="225"/>
      <c r="H26" s="226"/>
    </row>
    <row r="27" spans="1:8" ht="18.75" hidden="1">
      <c r="A27" s="15" t="s">
        <v>470</v>
      </c>
      <c r="B27" s="239" t="s">
        <v>480</v>
      </c>
      <c r="C27" s="240" t="s">
        <v>481</v>
      </c>
      <c r="D27" s="147"/>
      <c r="E27" s="241">
        <v>0</v>
      </c>
      <c r="F27" s="242" t="e">
        <f t="shared" si="0"/>
        <v>#DIV/0!</v>
      </c>
      <c r="G27" s="225"/>
      <c r="H27" s="226"/>
    </row>
    <row r="28" spans="1:8" ht="18.75">
      <c r="A28" s="15" t="s">
        <v>470</v>
      </c>
      <c r="B28" s="239" t="s">
        <v>475</v>
      </c>
      <c r="C28" s="240" t="s">
        <v>357</v>
      </c>
      <c r="D28" s="147">
        <v>268924.2</v>
      </c>
      <c r="E28" s="241">
        <v>266332.4</v>
      </c>
      <c r="F28" s="242">
        <f t="shared" si="0"/>
        <v>0.9903623400199759</v>
      </c>
      <c r="G28" s="225"/>
      <c r="H28" s="226"/>
    </row>
    <row r="29" spans="1:8" ht="18.75">
      <c r="A29" s="15" t="s">
        <v>470</v>
      </c>
      <c r="B29" s="239" t="s">
        <v>482</v>
      </c>
      <c r="C29" s="240" t="s">
        <v>359</v>
      </c>
      <c r="D29" s="147">
        <v>6968.5</v>
      </c>
      <c r="E29" s="241">
        <v>6438.1</v>
      </c>
      <c r="F29" s="242">
        <f t="shared" si="0"/>
        <v>0.9238860586926886</v>
      </c>
      <c r="G29" s="225"/>
      <c r="H29" s="226"/>
    </row>
    <row r="30" spans="1:8" s="31" customFormat="1" ht="18.75">
      <c r="A30" s="17" t="s">
        <v>471</v>
      </c>
      <c r="B30" s="17" t="s">
        <v>467</v>
      </c>
      <c r="C30" s="18" t="s">
        <v>361</v>
      </c>
      <c r="D30" s="10">
        <f>SUM(D31:D34)</f>
        <v>298074.39999999997</v>
      </c>
      <c r="E30" s="23">
        <f>SUM(E31:E34)</f>
        <v>282086.9</v>
      </c>
      <c r="F30" s="22">
        <f t="shared" si="0"/>
        <v>0.9463640621267713</v>
      </c>
      <c r="G30" s="225"/>
      <c r="H30" s="226"/>
    </row>
    <row r="31" spans="1:8" ht="18.75">
      <c r="A31" s="15" t="s">
        <v>471</v>
      </c>
      <c r="B31" s="239" t="s">
        <v>466</v>
      </c>
      <c r="C31" s="240" t="s">
        <v>363</v>
      </c>
      <c r="D31" s="147">
        <v>118627.1</v>
      </c>
      <c r="E31" s="241">
        <v>113520.8</v>
      </c>
      <c r="F31" s="242">
        <f t="shared" si="0"/>
        <v>0.9569550296686001</v>
      </c>
      <c r="G31" s="225"/>
      <c r="H31" s="226"/>
    </row>
    <row r="32" spans="1:8" ht="18.75">
      <c r="A32" s="15" t="s">
        <v>471</v>
      </c>
      <c r="B32" s="239" t="s">
        <v>468</v>
      </c>
      <c r="C32" s="240" t="s">
        <v>365</v>
      </c>
      <c r="D32" s="147">
        <v>32970.2</v>
      </c>
      <c r="E32" s="241">
        <v>27445.1</v>
      </c>
      <c r="F32" s="242">
        <f t="shared" si="0"/>
        <v>0.8324213987176299</v>
      </c>
      <c r="G32" s="225"/>
      <c r="H32" s="226"/>
    </row>
    <row r="33" spans="1:8" ht="18.75">
      <c r="A33" s="15" t="s">
        <v>471</v>
      </c>
      <c r="B33" s="239" t="s">
        <v>469</v>
      </c>
      <c r="C33" s="240" t="s">
        <v>367</v>
      </c>
      <c r="D33" s="147">
        <v>110358.5</v>
      </c>
      <c r="E33" s="241">
        <v>106543.5</v>
      </c>
      <c r="F33" s="242">
        <f t="shared" si="0"/>
        <v>0.9654308458342583</v>
      </c>
      <c r="G33" s="225"/>
      <c r="H33" s="226"/>
    </row>
    <row r="34" spans="1:8" ht="37.5">
      <c r="A34" s="15" t="s">
        <v>471</v>
      </c>
      <c r="B34" s="15" t="s">
        <v>471</v>
      </c>
      <c r="C34" s="240" t="s">
        <v>369</v>
      </c>
      <c r="D34" s="147">
        <v>36118.6</v>
      </c>
      <c r="E34" s="241">
        <v>34577.5</v>
      </c>
      <c r="F34" s="242">
        <f t="shared" si="0"/>
        <v>0.9573322332537806</v>
      </c>
      <c r="G34" s="225"/>
      <c r="H34" s="226"/>
    </row>
    <row r="35" spans="1:8" s="31" customFormat="1" ht="18" customHeight="1">
      <c r="A35" s="17" t="s">
        <v>472</v>
      </c>
      <c r="B35" s="17" t="s">
        <v>467</v>
      </c>
      <c r="C35" s="18" t="s">
        <v>371</v>
      </c>
      <c r="D35" s="10">
        <f>SUM(D36)</f>
        <v>875.9</v>
      </c>
      <c r="E35" s="23">
        <f>SUM(E36)</f>
        <v>875.8</v>
      </c>
      <c r="F35" s="22">
        <f t="shared" si="0"/>
        <v>0.9998858317159492</v>
      </c>
      <c r="G35" s="225"/>
      <c r="H35" s="226"/>
    </row>
    <row r="36" spans="1:8" ht="31.5" customHeight="1">
      <c r="A36" s="15" t="s">
        <v>472</v>
      </c>
      <c r="B36" s="239" t="s">
        <v>469</v>
      </c>
      <c r="C36" s="240" t="s">
        <v>373</v>
      </c>
      <c r="D36" s="147">
        <v>875.9</v>
      </c>
      <c r="E36" s="241">
        <v>875.8</v>
      </c>
      <c r="F36" s="242">
        <f t="shared" si="0"/>
        <v>0.9998858317159492</v>
      </c>
      <c r="G36" s="225"/>
      <c r="H36" s="226"/>
    </row>
    <row r="37" spans="1:8" s="31" customFormat="1" ht="18.75">
      <c r="A37" s="17" t="s">
        <v>479</v>
      </c>
      <c r="B37" s="17" t="s">
        <v>467</v>
      </c>
      <c r="C37" s="19" t="s">
        <v>375</v>
      </c>
      <c r="D37" s="10">
        <f>SUM(D38:D43)</f>
        <v>1508465.3</v>
      </c>
      <c r="E37" s="23">
        <f>SUM(E38:E43)</f>
        <v>1390482.9999999998</v>
      </c>
      <c r="F37" s="22">
        <f t="shared" si="0"/>
        <v>0.9217865336378634</v>
      </c>
      <c r="G37" s="225"/>
      <c r="H37" s="226"/>
    </row>
    <row r="38" spans="1:8" ht="18.75">
      <c r="A38" s="15" t="s">
        <v>479</v>
      </c>
      <c r="B38" s="239" t="s">
        <v>466</v>
      </c>
      <c r="C38" s="240" t="s">
        <v>395</v>
      </c>
      <c r="D38" s="147">
        <v>577471.4</v>
      </c>
      <c r="E38" s="244">
        <v>544185.8</v>
      </c>
      <c r="F38" s="242">
        <f t="shared" si="0"/>
        <v>0.9423597428374808</v>
      </c>
      <c r="G38" s="225"/>
      <c r="H38" s="226"/>
    </row>
    <row r="39" spans="1:8" ht="18.75">
      <c r="A39" s="15" t="s">
        <v>479</v>
      </c>
      <c r="B39" s="239" t="s">
        <v>468</v>
      </c>
      <c r="C39" s="240" t="s">
        <v>377</v>
      </c>
      <c r="D39" s="147">
        <v>645529.4</v>
      </c>
      <c r="E39" s="241">
        <v>562273.6</v>
      </c>
      <c r="F39" s="242">
        <f t="shared" si="0"/>
        <v>0.8710270980686549</v>
      </c>
      <c r="G39" s="225"/>
      <c r="H39" s="226"/>
    </row>
    <row r="40" spans="1:8" ht="18.75">
      <c r="A40" s="15" t="s">
        <v>479</v>
      </c>
      <c r="B40" s="239" t="s">
        <v>469</v>
      </c>
      <c r="C40" s="240" t="s">
        <v>798</v>
      </c>
      <c r="D40" s="147">
        <v>198029.8</v>
      </c>
      <c r="E40" s="241">
        <v>196782.7</v>
      </c>
      <c r="F40" s="242">
        <f t="shared" si="0"/>
        <v>0.9937024629626451</v>
      </c>
      <c r="G40" s="225"/>
      <c r="H40" s="226"/>
    </row>
    <row r="41" spans="1:8" ht="37.5">
      <c r="A41" s="15" t="s">
        <v>479</v>
      </c>
      <c r="B41" s="239" t="s">
        <v>471</v>
      </c>
      <c r="C41" s="240" t="s">
        <v>888</v>
      </c>
      <c r="D41" s="147">
        <v>660.8</v>
      </c>
      <c r="E41" s="241">
        <v>619.7</v>
      </c>
      <c r="F41" s="242">
        <f t="shared" si="0"/>
        <v>0.9378026634382568</v>
      </c>
      <c r="G41" s="225"/>
      <c r="H41" s="226"/>
    </row>
    <row r="42" spans="1:8" ht="18.75">
      <c r="A42" s="15" t="s">
        <v>479</v>
      </c>
      <c r="B42" s="239" t="s">
        <v>479</v>
      </c>
      <c r="C42" s="240" t="s">
        <v>398</v>
      </c>
      <c r="D42" s="147">
        <v>23877.9</v>
      </c>
      <c r="E42" s="241">
        <v>23867.4</v>
      </c>
      <c r="F42" s="242">
        <f t="shared" si="0"/>
        <v>0.9995602628371841</v>
      </c>
      <c r="G42" s="225"/>
      <c r="H42" s="226"/>
    </row>
    <row r="43" spans="1:8" ht="18.75">
      <c r="A43" s="15" t="s">
        <v>479</v>
      </c>
      <c r="B43" s="239" t="s">
        <v>475</v>
      </c>
      <c r="C43" s="240" t="s">
        <v>379</v>
      </c>
      <c r="D43" s="147">
        <v>62896</v>
      </c>
      <c r="E43" s="241">
        <v>62753.8</v>
      </c>
      <c r="F43" s="242">
        <f t="shared" si="0"/>
        <v>0.9977391249046045</v>
      </c>
      <c r="G43" s="225"/>
      <c r="H43" s="226"/>
    </row>
    <row r="44" spans="1:8" s="31" customFormat="1" ht="18.75">
      <c r="A44" s="17" t="s">
        <v>480</v>
      </c>
      <c r="B44" s="17" t="s">
        <v>467</v>
      </c>
      <c r="C44" s="18" t="s">
        <v>483</v>
      </c>
      <c r="D44" s="10">
        <f>SUM(D45:D46)</f>
        <v>103498.8</v>
      </c>
      <c r="E44" s="23">
        <f>SUM(E45:E46)</f>
        <v>102673.8</v>
      </c>
      <c r="F44" s="22">
        <f t="shared" si="0"/>
        <v>0.9920288930886155</v>
      </c>
      <c r="G44" s="225"/>
      <c r="H44" s="226"/>
    </row>
    <row r="45" spans="1:8" ht="18.75">
      <c r="A45" s="15" t="s">
        <v>480</v>
      </c>
      <c r="B45" s="239" t="s">
        <v>466</v>
      </c>
      <c r="C45" s="240" t="s">
        <v>404</v>
      </c>
      <c r="D45" s="147">
        <v>74355.3</v>
      </c>
      <c r="E45" s="241">
        <v>74347.3</v>
      </c>
      <c r="F45" s="242">
        <f t="shared" si="0"/>
        <v>0.9998924084765982</v>
      </c>
      <c r="G45" s="225"/>
      <c r="H45" s="226"/>
    </row>
    <row r="46" spans="1:8" ht="18.75">
      <c r="A46" s="15" t="s">
        <v>480</v>
      </c>
      <c r="B46" s="239" t="s">
        <v>470</v>
      </c>
      <c r="C46" s="240" t="s">
        <v>382</v>
      </c>
      <c r="D46" s="147">
        <v>29143.5</v>
      </c>
      <c r="E46" s="241">
        <v>28326.5</v>
      </c>
      <c r="F46" s="242">
        <f t="shared" si="0"/>
        <v>0.9719663046648481</v>
      </c>
      <c r="G46" s="225"/>
      <c r="H46" s="226"/>
    </row>
    <row r="47" spans="1:8" s="31" customFormat="1" ht="18.75">
      <c r="A47" s="17" t="s">
        <v>475</v>
      </c>
      <c r="B47" s="17" t="s">
        <v>467</v>
      </c>
      <c r="C47" s="18" t="s">
        <v>484</v>
      </c>
      <c r="D47" s="10">
        <f>SUM(D48:D48)</f>
        <v>1060.3</v>
      </c>
      <c r="E47" s="23">
        <f>SUM(E48:E48)</f>
        <v>1047.3</v>
      </c>
      <c r="F47" s="22">
        <f t="shared" si="0"/>
        <v>0.9877393190606432</v>
      </c>
      <c r="G47" s="225"/>
      <c r="H47" s="226"/>
    </row>
    <row r="48" spans="1:8" ht="18.75">
      <c r="A48" s="15" t="s">
        <v>475</v>
      </c>
      <c r="B48" s="239" t="s">
        <v>479</v>
      </c>
      <c r="C48" s="240" t="s">
        <v>962</v>
      </c>
      <c r="D48" s="147">
        <v>1060.3</v>
      </c>
      <c r="E48" s="241">
        <v>1047.3</v>
      </c>
      <c r="F48" s="242">
        <f t="shared" si="0"/>
        <v>0.9877393190606432</v>
      </c>
      <c r="G48" s="225"/>
      <c r="H48" s="226"/>
    </row>
    <row r="49" spans="1:8" s="31" customFormat="1" ht="18.75">
      <c r="A49" s="17" t="s">
        <v>477</v>
      </c>
      <c r="B49" s="17" t="s">
        <v>467</v>
      </c>
      <c r="C49" s="18" t="s">
        <v>385</v>
      </c>
      <c r="D49" s="10">
        <f>SUM(D50:D53)</f>
        <v>119562.09999999999</v>
      </c>
      <c r="E49" s="23">
        <f>SUM(E50:E53)</f>
        <v>113571.8</v>
      </c>
      <c r="F49" s="22">
        <f t="shared" si="0"/>
        <v>0.9498980027952002</v>
      </c>
      <c r="G49" s="225"/>
      <c r="H49" s="226"/>
    </row>
    <row r="50" spans="1:8" ht="18.75">
      <c r="A50" s="15" t="s">
        <v>477</v>
      </c>
      <c r="B50" s="239" t="s">
        <v>466</v>
      </c>
      <c r="C50" s="240" t="s">
        <v>387</v>
      </c>
      <c r="D50" s="147">
        <v>7641.2</v>
      </c>
      <c r="E50" s="241">
        <v>7618</v>
      </c>
      <c r="F50" s="242">
        <f t="shared" si="0"/>
        <v>0.9969638276710464</v>
      </c>
      <c r="G50" s="225"/>
      <c r="H50" s="226"/>
    </row>
    <row r="51" spans="1:8" ht="18.75">
      <c r="A51" s="15" t="s">
        <v>477</v>
      </c>
      <c r="B51" s="239" t="s">
        <v>469</v>
      </c>
      <c r="C51" s="240" t="s">
        <v>389</v>
      </c>
      <c r="D51" s="147">
        <v>70027</v>
      </c>
      <c r="E51" s="241">
        <v>66150</v>
      </c>
      <c r="F51" s="242">
        <f t="shared" si="0"/>
        <v>0.9446356405386493</v>
      </c>
      <c r="G51" s="225"/>
      <c r="H51" s="226"/>
    </row>
    <row r="52" spans="1:8" ht="18.75">
      <c r="A52" s="15" t="s">
        <v>477</v>
      </c>
      <c r="B52" s="239" t="s">
        <v>470</v>
      </c>
      <c r="C52" s="240" t="s">
        <v>400</v>
      </c>
      <c r="D52" s="147">
        <v>34102</v>
      </c>
      <c r="E52" s="241">
        <v>32816</v>
      </c>
      <c r="F52" s="242">
        <f t="shared" si="0"/>
        <v>0.9622896017828866</v>
      </c>
      <c r="G52" s="225"/>
      <c r="H52" s="226"/>
    </row>
    <row r="53" spans="1:8" ht="18.75">
      <c r="A53" s="15" t="s">
        <v>477</v>
      </c>
      <c r="B53" s="239" t="s">
        <v>472</v>
      </c>
      <c r="C53" s="240" t="s">
        <v>390</v>
      </c>
      <c r="D53" s="147">
        <v>7791.9</v>
      </c>
      <c r="E53" s="241">
        <v>6987.8</v>
      </c>
      <c r="F53" s="242">
        <f t="shared" si="0"/>
        <v>0.8968030903887371</v>
      </c>
      <c r="G53" s="225"/>
      <c r="H53" s="226"/>
    </row>
    <row r="54" spans="1:8" s="31" customFormat="1" ht="18.75">
      <c r="A54" s="17" t="s">
        <v>473</v>
      </c>
      <c r="B54" s="17" t="s">
        <v>467</v>
      </c>
      <c r="C54" s="18" t="s">
        <v>407</v>
      </c>
      <c r="D54" s="10">
        <f>SUM(D55:D57)</f>
        <v>173725.6</v>
      </c>
      <c r="E54" s="23">
        <f>SUM(E55:E57)</f>
        <v>80513.1</v>
      </c>
      <c r="F54" s="22">
        <f t="shared" si="0"/>
        <v>0.4634498312280977</v>
      </c>
      <c r="G54" s="225"/>
      <c r="H54" s="226"/>
    </row>
    <row r="55" spans="1:8" ht="18.75">
      <c r="A55" s="15" t="s">
        <v>473</v>
      </c>
      <c r="B55" s="15" t="s">
        <v>466</v>
      </c>
      <c r="C55" s="240" t="s">
        <v>485</v>
      </c>
      <c r="D55" s="243">
        <v>697.5</v>
      </c>
      <c r="E55" s="244">
        <v>697.5</v>
      </c>
      <c r="F55" s="242">
        <f t="shared" si="0"/>
        <v>1</v>
      </c>
      <c r="G55" s="225"/>
      <c r="H55" s="226"/>
    </row>
    <row r="56" spans="1:8" ht="18.75">
      <c r="A56" s="245">
        <v>11</v>
      </c>
      <c r="B56" s="239" t="s">
        <v>468</v>
      </c>
      <c r="C56" s="240" t="s">
        <v>409</v>
      </c>
      <c r="D56" s="147">
        <v>167099.4</v>
      </c>
      <c r="E56" s="241">
        <v>74030.8</v>
      </c>
      <c r="F56" s="242">
        <f t="shared" si="0"/>
        <v>0.44303450521067106</v>
      </c>
      <c r="G56" s="225"/>
      <c r="H56" s="226"/>
    </row>
    <row r="57" spans="1:8" ht="37.5">
      <c r="A57" s="15" t="s">
        <v>473</v>
      </c>
      <c r="B57" s="239" t="s">
        <v>471</v>
      </c>
      <c r="C57" s="240" t="s">
        <v>410</v>
      </c>
      <c r="D57" s="147">
        <v>5928.7</v>
      </c>
      <c r="E57" s="241">
        <v>5784.8</v>
      </c>
      <c r="F57" s="242">
        <f t="shared" si="0"/>
        <v>0.975728237218952</v>
      </c>
      <c r="G57" s="225"/>
      <c r="H57" s="226"/>
    </row>
    <row r="58" spans="1:8" s="31" customFormat="1" ht="37.5" hidden="1">
      <c r="A58" s="17" t="s">
        <v>474</v>
      </c>
      <c r="B58" s="16" t="s">
        <v>467</v>
      </c>
      <c r="C58" s="18" t="s">
        <v>486</v>
      </c>
      <c r="D58" s="10">
        <f>SUM(D59)</f>
        <v>0</v>
      </c>
      <c r="E58" s="23">
        <v>0</v>
      </c>
      <c r="F58" s="22" t="e">
        <f t="shared" si="0"/>
        <v>#DIV/0!</v>
      </c>
      <c r="G58" s="225"/>
      <c r="H58" s="226"/>
    </row>
    <row r="59" spans="1:8" ht="37.5" hidden="1">
      <c r="A59" s="15" t="s">
        <v>474</v>
      </c>
      <c r="B59" s="239" t="s">
        <v>466</v>
      </c>
      <c r="C59" s="240" t="s">
        <v>487</v>
      </c>
      <c r="D59" s="243">
        <v>0</v>
      </c>
      <c r="E59" s="244">
        <v>0</v>
      </c>
      <c r="F59" s="242" t="e">
        <f t="shared" si="0"/>
        <v>#DIV/0!</v>
      </c>
      <c r="G59" s="225"/>
      <c r="H59" s="226"/>
    </row>
    <row r="60" spans="1:8" ht="56.25" hidden="1">
      <c r="A60" s="17" t="s">
        <v>478</v>
      </c>
      <c r="B60" s="16" t="s">
        <v>467</v>
      </c>
      <c r="C60" s="18" t="s">
        <v>488</v>
      </c>
      <c r="D60" s="10">
        <f>SUM(D61)</f>
        <v>0</v>
      </c>
      <c r="E60" s="23">
        <f>SUM(E61)</f>
        <v>0</v>
      </c>
      <c r="F60" s="22" t="e">
        <f>E60/D60</f>
        <v>#DIV/0!</v>
      </c>
      <c r="G60" s="225"/>
      <c r="H60" s="226"/>
    </row>
    <row r="61" spans="1:8" ht="18.75" hidden="1">
      <c r="A61" s="15" t="s">
        <v>478</v>
      </c>
      <c r="B61" s="239" t="s">
        <v>469</v>
      </c>
      <c r="C61" s="240" t="s">
        <v>489</v>
      </c>
      <c r="D61" s="243">
        <v>0</v>
      </c>
      <c r="E61" s="244">
        <v>0</v>
      </c>
      <c r="F61" s="242" t="e">
        <f>E61/D61</f>
        <v>#DIV/0!</v>
      </c>
      <c r="G61" s="225"/>
      <c r="H61" s="226"/>
    </row>
    <row r="62" spans="1:8" s="31" customFormat="1" ht="18.75">
      <c r="A62" s="32"/>
      <c r="B62" s="17"/>
      <c r="C62" s="18" t="s">
        <v>765</v>
      </c>
      <c r="D62" s="10">
        <f>D11+D19+D23+D30+D35+D37+D44+D47+D49+D54+D58+D60</f>
        <v>2709872.1999999997</v>
      </c>
      <c r="E62" s="10">
        <f>E11+E19+E23+E30+E35+E37+E44+E47+E49+E54+E58+E60</f>
        <v>2465530.7999999993</v>
      </c>
      <c r="F62" s="22">
        <f>E62/D62</f>
        <v>0.9098328696091276</v>
      </c>
      <c r="G62" s="225"/>
      <c r="H62" s="226"/>
    </row>
    <row r="116" ht="15.75">
      <c r="C116" s="33"/>
    </row>
  </sheetData>
  <sheetProtection/>
  <mergeCells count="8">
    <mergeCell ref="A5:C5"/>
    <mergeCell ref="A6:F6"/>
    <mergeCell ref="A8:A9"/>
    <mergeCell ref="B8:B9"/>
    <mergeCell ref="C8:C9"/>
    <mergeCell ref="D8:D9"/>
    <mergeCell ref="E8:E9"/>
    <mergeCell ref="F8:F9"/>
  </mergeCells>
  <printOptions/>
  <pageMargins left="1.1811023622047245" right="0.3937007874015748" top="0.7874015748031497" bottom="0.7874015748031497" header="0.31496062992125984" footer="0.31496062992125984"/>
  <pageSetup fitToHeight="0" fitToWidth="1" horizontalDpi="600" verticalDpi="600" orientation="portrait" paperSize="9" scale="61"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127"/>
  <sheetViews>
    <sheetView zoomScalePageLayoutView="0" workbookViewId="0" topLeftCell="A1">
      <selection activeCell="C23" sqref="C23"/>
    </sheetView>
  </sheetViews>
  <sheetFormatPr defaultColWidth="9.00390625" defaultRowHeight="12.75"/>
  <cols>
    <col min="1" max="1" width="18.25390625" style="34" customWidth="1"/>
    <col min="2" max="2" width="31.25390625" style="34" customWidth="1"/>
    <col min="3" max="3" width="76.25390625" style="34" customWidth="1"/>
    <col min="4" max="4" width="19.375" style="34" customWidth="1"/>
    <col min="5" max="5" width="17.875" style="34" customWidth="1"/>
    <col min="6" max="16384" width="9.125" style="34" customWidth="1"/>
  </cols>
  <sheetData>
    <row r="1" spans="1:5" ht="16.5" customHeight="1">
      <c r="A1" s="28"/>
      <c r="C1" s="28"/>
      <c r="E1" s="227" t="s">
        <v>1100</v>
      </c>
    </row>
    <row r="2" spans="1:5" ht="16.5" customHeight="1">
      <c r="A2" s="28"/>
      <c r="C2" s="28"/>
      <c r="D2" s="28"/>
      <c r="E2" s="227" t="s">
        <v>458</v>
      </c>
    </row>
    <row r="3" spans="1:5" ht="16.5" customHeight="1">
      <c r="A3" s="28"/>
      <c r="C3" s="28"/>
      <c r="D3" s="28"/>
      <c r="E3" s="227" t="s">
        <v>459</v>
      </c>
    </row>
    <row r="4" spans="1:5" ht="16.5" customHeight="1">
      <c r="A4" s="28"/>
      <c r="C4" s="28"/>
      <c r="D4" s="28"/>
      <c r="E4" s="29" t="s">
        <v>1101</v>
      </c>
    </row>
    <row r="5" spans="4:5" ht="15.75">
      <c r="D5" s="28"/>
      <c r="E5" s="28"/>
    </row>
    <row r="7" spans="1:5" ht="39" customHeight="1">
      <c r="A7" s="271" t="s">
        <v>1047</v>
      </c>
      <c r="B7" s="271"/>
      <c r="C7" s="271"/>
      <c r="D7" s="271"/>
      <c r="E7" s="271"/>
    </row>
    <row r="8" ht="15.75">
      <c r="A8" s="35"/>
    </row>
    <row r="9" spans="1:5" ht="17.25" customHeight="1">
      <c r="A9" s="272"/>
      <c r="B9" s="272"/>
      <c r="C9" s="36"/>
      <c r="D9" s="36"/>
      <c r="E9" s="37" t="s">
        <v>1</v>
      </c>
    </row>
    <row r="10" spans="1:5" ht="16.5" customHeight="1">
      <c r="A10" s="273" t="s">
        <v>490</v>
      </c>
      <c r="B10" s="274"/>
      <c r="C10" s="275" t="s">
        <v>491</v>
      </c>
      <c r="D10" s="277" t="s">
        <v>455</v>
      </c>
      <c r="E10" s="276" t="s">
        <v>492</v>
      </c>
    </row>
    <row r="11" spans="1:5" ht="45" customHeight="1">
      <c r="A11" s="39" t="s">
        <v>493</v>
      </c>
      <c r="B11" s="107" t="s">
        <v>494</v>
      </c>
      <c r="C11" s="275"/>
      <c r="D11" s="278"/>
      <c r="E11" s="276"/>
    </row>
    <row r="12" spans="1:5" ht="15.75" customHeight="1">
      <c r="A12" s="157">
        <v>1</v>
      </c>
      <c r="B12" s="157">
        <v>2</v>
      </c>
      <c r="C12" s="161">
        <v>3</v>
      </c>
      <c r="D12" s="161">
        <v>4</v>
      </c>
      <c r="E12" s="157">
        <v>5</v>
      </c>
    </row>
    <row r="13" spans="1:5" s="42" customFormat="1" ht="15.75">
      <c r="A13" s="39">
        <v>670</v>
      </c>
      <c r="B13" s="38"/>
      <c r="C13" s="40" t="s">
        <v>495</v>
      </c>
      <c r="D13" s="40"/>
      <c r="E13" s="41"/>
    </row>
    <row r="14" spans="1:5" s="42" customFormat="1" ht="35.25" customHeight="1">
      <c r="A14" s="39"/>
      <c r="B14" s="53" t="s">
        <v>498</v>
      </c>
      <c r="C14" s="43" t="s">
        <v>499</v>
      </c>
      <c r="D14" s="108">
        <v>236149.4</v>
      </c>
      <c r="E14" s="54"/>
    </row>
    <row r="15" spans="1:5" s="42" customFormat="1" ht="31.5" customHeight="1" hidden="1">
      <c r="A15" s="38"/>
      <c r="B15" s="44" t="s">
        <v>496</v>
      </c>
      <c r="C15" s="45" t="s">
        <v>497</v>
      </c>
      <c r="D15" s="109"/>
      <c r="E15" s="55"/>
    </row>
    <row r="16" spans="1:5" s="42" customFormat="1" ht="22.5" customHeight="1">
      <c r="A16" s="46"/>
      <c r="B16" s="47" t="s">
        <v>496</v>
      </c>
      <c r="C16" s="48" t="s">
        <v>497</v>
      </c>
      <c r="D16" s="110"/>
      <c r="E16" s="56">
        <v>12962.4</v>
      </c>
    </row>
    <row r="17" spans="1:5" s="42" customFormat="1" ht="18.75" customHeight="1">
      <c r="A17" s="41"/>
      <c r="B17" s="41"/>
      <c r="C17" s="49" t="s">
        <v>500</v>
      </c>
      <c r="D17" s="111">
        <f>D14</f>
        <v>236149.4</v>
      </c>
      <c r="E17" s="57">
        <f>(E16)</f>
        <v>12962.4</v>
      </c>
    </row>
    <row r="18" s="42" customFormat="1" ht="15.75"/>
    <row r="19" spans="2:5" s="42" customFormat="1" ht="15.75">
      <c r="B19" s="27"/>
      <c r="C19" s="112"/>
      <c r="D19" s="113"/>
      <c r="E19" s="27"/>
    </row>
    <row r="20" s="42" customFormat="1" ht="15.75"/>
    <row r="21" s="42" customFormat="1" ht="15.75"/>
    <row r="22" s="42" customFormat="1" ht="15.75"/>
    <row r="23" s="42" customFormat="1" ht="15.75"/>
    <row r="24" s="42" customFormat="1" ht="15.75"/>
    <row r="25" s="42" customFormat="1" ht="15.75"/>
    <row r="26" s="42" customFormat="1" ht="15.75"/>
    <row r="27" s="42" customFormat="1" ht="15.75"/>
    <row r="28" s="42" customFormat="1" ht="15.75"/>
    <row r="29" s="42" customFormat="1" ht="15.75"/>
    <row r="30" s="42" customFormat="1" ht="15.75"/>
    <row r="31" s="42" customFormat="1" ht="15.75"/>
    <row r="32" s="42" customFormat="1" ht="15.75"/>
    <row r="33" s="42" customFormat="1" ht="15.75"/>
    <row r="34" s="42" customFormat="1" ht="15.75"/>
    <row r="35" s="42" customFormat="1" ht="15.75"/>
    <row r="127" spans="3:4" ht="15.75">
      <c r="C127" s="50"/>
      <c r="D127" s="50"/>
    </row>
  </sheetData>
  <sheetProtection/>
  <mergeCells count="6">
    <mergeCell ref="A7:E7"/>
    <mergeCell ref="A9:B9"/>
    <mergeCell ref="A10:B10"/>
    <mergeCell ref="C10:C11"/>
    <mergeCell ref="E10:E11"/>
    <mergeCell ref="D10:D11"/>
  </mergeCells>
  <printOptions/>
  <pageMargins left="0.7874015748031497" right="0.7874015748031497" top="1.1811023622047245" bottom="0.3937007874015748"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СОЛИКАМСКА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Сомова Наталья Александровна</cp:lastModifiedBy>
  <cp:lastPrinted>2019-04-12T05:01:04Z</cp:lastPrinted>
  <dcterms:created xsi:type="dcterms:W3CDTF">2008-04-15T05:17:20Z</dcterms:created>
  <dcterms:modified xsi:type="dcterms:W3CDTF">2019-04-16T15:54:58Z</dcterms:modified>
  <cp:category/>
  <cp:version/>
  <cp:contentType/>
  <cp:contentStatus/>
</cp:coreProperties>
</file>